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drawings/drawing7.xml" ContentType="application/vnd.openxmlformats-officedocument.drawing+xml"/>
  <Override PartName="/xl/comments9.xml" ContentType="application/vnd.openxmlformats-officedocument.spreadsheetml.comments+xml"/>
  <Override PartName="/xl/drawings/drawing8.xml" ContentType="application/vnd.openxmlformats-officedocument.drawing+xml"/>
  <Override PartName="/xl/comments10.xml" ContentType="application/vnd.openxmlformats-officedocument.spreadsheetml.comments+xml"/>
  <Override PartName="/xl/drawings/drawing9.xml" ContentType="application/vnd.openxmlformats-officedocument.drawing+xml"/>
  <Override PartName="/xl/comments11.xml" ContentType="application/vnd.openxmlformats-officedocument.spreadsheetml.comments+xml"/>
  <Override PartName="/xl/drawings/drawing10.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6EA9AA4F-4C90-45B3-BE94-F08225CFF3EE}" xr6:coauthVersionLast="47" xr6:coauthVersionMax="47" xr10:uidLastSave="{00000000-0000-0000-0000-000000000000}"/>
  <bookViews>
    <workbookView xWindow="28680" yWindow="-120" windowWidth="20730" windowHeight="11040" tabRatio="848" xr2:uid="{00000000-000D-0000-FFFF-FFFF00000000}"/>
  </bookViews>
  <sheets>
    <sheet name="INSTRUÇOES PARA PREENCHIMENTO" sheetId="28" r:id="rId1"/>
    <sheet name="Proposta de Preços" sheetId="27" r:id="rId2"/>
    <sheet name="NP" sheetId="1" r:id="rId3"/>
    <sheet name="PC" sheetId="2" r:id="rId4"/>
    <sheet name="Salários.VA.VT.QteDias.LDI.T" sheetId="3" r:id="rId5"/>
    <sheet name="Gás" sheetId="4" r:id="rId6"/>
    <sheet name="GA" sheetId="5" r:id="rId7"/>
    <sheet name="MLHCC - Ônus da Contratada" sheetId="6" r:id="rId8"/>
    <sheet name="MCC - Sob Demanda" sheetId="7" r:id="rId9"/>
    <sheet name="MLPH" sheetId="8" r:id="rId10"/>
    <sheet name="Unif" sheetId="9" r:id="rId11"/>
    <sheet name="FJ" sheetId="10" r:id="rId12"/>
    <sheet name="IOJ" sheetId="11" r:id="rId13"/>
    <sheet name="MIJ" sheetId="12" r:id="rId14"/>
    <sheet name="MB" sheetId="13" r:id="rId15"/>
    <sheet name="MP" sheetId="14" r:id="rId16"/>
    <sheet name="EPI´s - LC" sheetId="15" r:id="rId17"/>
    <sheet name="EPI´s - BC" sheetId="16" r:id="rId18"/>
    <sheet name="EPI´s - J" sheetId="17" r:id="rId19"/>
    <sheet name="AAI" sheetId="18" r:id="rId20"/>
    <sheet name="AAII" sheetId="19" r:id="rId21"/>
    <sheet name="AAIII" sheetId="20" r:id="rId22"/>
    <sheet name="SENS" sheetId="21" r:id="rId23"/>
    <sheet name="Rec" sheetId="22" r:id="rId24"/>
    <sheet name="Cop" sheetId="23" r:id="rId25"/>
    <sheet name="BCD" sheetId="24" r:id="rId26"/>
    <sheet name="SL" sheetId="25" r:id="rId27"/>
    <sheet name="Jard" sheetId="26" r:id="rId28"/>
  </sheets>
  <externalReferences>
    <externalReference r:id="rId29"/>
    <externalReference r:id="rId30"/>
    <externalReference r:id="rId31"/>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44" i="27" l="1"/>
  <c r="D40" i="27"/>
  <c r="D39" i="27"/>
  <c r="D38" i="27"/>
  <c r="D37" i="27"/>
  <c r="D36" i="27"/>
  <c r="D140" i="26"/>
  <c r="C140" i="26"/>
  <c r="A140" i="26"/>
  <c r="E125" i="26"/>
  <c r="E120" i="26"/>
  <c r="E119" i="26"/>
  <c r="E97" i="26"/>
  <c r="E96" i="26"/>
  <c r="E95" i="26"/>
  <c r="E94" i="26"/>
  <c r="E87" i="26"/>
  <c r="E86" i="26"/>
  <c r="E85" i="26"/>
  <c r="E84" i="26"/>
  <c r="E83" i="26"/>
  <c r="E82" i="26"/>
  <c r="D65" i="26"/>
  <c r="B65" i="26"/>
  <c r="D63" i="26"/>
  <c r="B63" i="26"/>
  <c r="E59" i="26"/>
  <c r="E46" i="26"/>
  <c r="D140" i="25"/>
  <c r="C140" i="25"/>
  <c r="A140" i="25"/>
  <c r="E125" i="25"/>
  <c r="E120" i="25"/>
  <c r="E119" i="25"/>
  <c r="E97" i="25"/>
  <c r="E96" i="25"/>
  <c r="E95" i="25"/>
  <c r="E94" i="25"/>
  <c r="E87" i="25"/>
  <c r="E86" i="25"/>
  <c r="E85" i="25"/>
  <c r="E84" i="25"/>
  <c r="E83" i="25"/>
  <c r="E82" i="25"/>
  <c r="D65" i="25"/>
  <c r="B65" i="25"/>
  <c r="E65" i="25" s="1"/>
  <c r="D63" i="25"/>
  <c r="B63" i="25"/>
  <c r="E59" i="25"/>
  <c r="E47" i="25"/>
  <c r="E46" i="25"/>
  <c r="E48" i="25" s="1"/>
  <c r="D140" i="24"/>
  <c r="C140" i="24"/>
  <c r="A140" i="24"/>
  <c r="E125" i="24"/>
  <c r="E120" i="24"/>
  <c r="E119" i="24"/>
  <c r="E97" i="24"/>
  <c r="E96" i="24"/>
  <c r="E95" i="24"/>
  <c r="E94" i="24"/>
  <c r="E99" i="24" s="1"/>
  <c r="E87" i="24"/>
  <c r="E86" i="24"/>
  <c r="E85" i="24"/>
  <c r="E84" i="24"/>
  <c r="E83" i="24"/>
  <c r="E82" i="24"/>
  <c r="D65" i="24"/>
  <c r="B65" i="24"/>
  <c r="D63" i="24"/>
  <c r="B63" i="24"/>
  <c r="E59" i="24"/>
  <c r="E47" i="24"/>
  <c r="E48" i="24" s="1"/>
  <c r="E46" i="24"/>
  <c r="D140" i="23"/>
  <c r="C140" i="23"/>
  <c r="A140" i="23"/>
  <c r="E125" i="23"/>
  <c r="E120" i="23"/>
  <c r="E119" i="23"/>
  <c r="E97" i="23"/>
  <c r="E96" i="23"/>
  <c r="E95" i="23"/>
  <c r="E94" i="23"/>
  <c r="E88" i="23"/>
  <c r="E87" i="23"/>
  <c r="E86" i="23"/>
  <c r="E85" i="23"/>
  <c r="E84" i="23"/>
  <c r="E83" i="23"/>
  <c r="E82" i="23"/>
  <c r="D65" i="23"/>
  <c r="B65" i="23"/>
  <c r="D63" i="23"/>
  <c r="B63" i="23"/>
  <c r="E59" i="23"/>
  <c r="E46" i="23"/>
  <c r="E47" i="23" s="1"/>
  <c r="E48" i="23" s="1"/>
  <c r="D140" i="22"/>
  <c r="C140" i="22"/>
  <c r="A140" i="22"/>
  <c r="E125" i="22"/>
  <c r="E120" i="22"/>
  <c r="E119" i="22"/>
  <c r="E97" i="22"/>
  <c r="E96" i="22"/>
  <c r="E95" i="22"/>
  <c r="E94" i="22"/>
  <c r="E87" i="22"/>
  <c r="E86" i="22"/>
  <c r="E85" i="22"/>
  <c r="E84" i="22"/>
  <c r="E83" i="22"/>
  <c r="E82" i="22"/>
  <c r="D65" i="22"/>
  <c r="B65" i="22"/>
  <c r="D63" i="22"/>
  <c r="B63" i="22"/>
  <c r="E59" i="22"/>
  <c r="E47" i="22"/>
  <c r="E46" i="22"/>
  <c r="D140" i="21"/>
  <c r="C140" i="21"/>
  <c r="A140" i="21"/>
  <c r="E125" i="21"/>
  <c r="E120" i="21"/>
  <c r="E119" i="21"/>
  <c r="E97" i="21"/>
  <c r="E96" i="21"/>
  <c r="E95" i="21"/>
  <c r="E94" i="21"/>
  <c r="E87" i="21"/>
  <c r="E86" i="21"/>
  <c r="E85" i="21"/>
  <c r="E84" i="21"/>
  <c r="E83" i="21"/>
  <c r="E82" i="21"/>
  <c r="D65" i="21"/>
  <c r="B65" i="21"/>
  <c r="D63" i="21"/>
  <c r="B63" i="21"/>
  <c r="E59" i="21"/>
  <c r="E47" i="21"/>
  <c r="E48" i="21" s="1"/>
  <c r="E46" i="21"/>
  <c r="D140" i="20"/>
  <c r="C140" i="20"/>
  <c r="A140" i="20"/>
  <c r="E125" i="20"/>
  <c r="E120" i="20"/>
  <c r="E119" i="20"/>
  <c r="E97" i="20"/>
  <c r="E96" i="20"/>
  <c r="E95" i="20"/>
  <c r="E94" i="20"/>
  <c r="E99" i="20" s="1"/>
  <c r="E87" i="20"/>
  <c r="E86" i="20"/>
  <c r="E85" i="20"/>
  <c r="E84" i="20"/>
  <c r="E83" i="20"/>
  <c r="E82" i="20"/>
  <c r="D65" i="20"/>
  <c r="B65" i="20"/>
  <c r="D63" i="20"/>
  <c r="B63" i="20"/>
  <c r="E59" i="20"/>
  <c r="E46" i="20"/>
  <c r="E47" i="20" s="1"/>
  <c r="E48" i="20" s="1"/>
  <c r="D140" i="19"/>
  <c r="C140" i="19"/>
  <c r="A140" i="19"/>
  <c r="E125" i="19"/>
  <c r="E120" i="19"/>
  <c r="E119" i="19"/>
  <c r="E97" i="19"/>
  <c r="E96" i="19"/>
  <c r="E99" i="19" s="1"/>
  <c r="E95" i="19"/>
  <c r="E94" i="19"/>
  <c r="E87" i="19"/>
  <c r="E86" i="19"/>
  <c r="E85" i="19"/>
  <c r="E84" i="19"/>
  <c r="E83" i="19"/>
  <c r="E82" i="19"/>
  <c r="D65" i="19"/>
  <c r="B65" i="19"/>
  <c r="E65" i="19" s="1"/>
  <c r="D63" i="19"/>
  <c r="B63" i="19"/>
  <c r="E59" i="19"/>
  <c r="E47" i="19"/>
  <c r="E46" i="19"/>
  <c r="D140" i="18"/>
  <c r="C140" i="18"/>
  <c r="A140" i="18"/>
  <c r="E125" i="18"/>
  <c r="E120" i="18"/>
  <c r="E119" i="18"/>
  <c r="E97" i="18"/>
  <c r="E96" i="18"/>
  <c r="E95" i="18"/>
  <c r="E94" i="18"/>
  <c r="E99" i="18" s="1"/>
  <c r="E87" i="18"/>
  <c r="E86" i="18"/>
  <c r="E85" i="18"/>
  <c r="E84" i="18"/>
  <c r="E83" i="18"/>
  <c r="E82" i="18"/>
  <c r="D65" i="18"/>
  <c r="B65" i="18"/>
  <c r="E65" i="18" s="1"/>
  <c r="D63" i="18"/>
  <c r="B63" i="18"/>
  <c r="E59" i="18"/>
  <c r="E48" i="18"/>
  <c r="E47" i="18"/>
  <c r="E46" i="18"/>
  <c r="C10" i="17"/>
  <c r="E7" i="17"/>
  <c r="E6" i="17"/>
  <c r="E5" i="17"/>
  <c r="E4" i="17"/>
  <c r="E3" i="17"/>
  <c r="C10" i="16"/>
  <c r="E8" i="16"/>
  <c r="E7" i="16"/>
  <c r="E6" i="16"/>
  <c r="E5" i="16"/>
  <c r="E4" i="16"/>
  <c r="E3" i="16"/>
  <c r="C6" i="15"/>
  <c r="E4" i="15"/>
  <c r="E3" i="15"/>
  <c r="C17" i="13"/>
  <c r="E14" i="13"/>
  <c r="E13" i="13"/>
  <c r="E12" i="13"/>
  <c r="E11" i="13"/>
  <c r="E10" i="13"/>
  <c r="E9" i="13"/>
  <c r="E8" i="13"/>
  <c r="E7" i="13"/>
  <c r="E6" i="13"/>
  <c r="E5" i="13"/>
  <c r="E4" i="13"/>
  <c r="E3" i="13"/>
  <c r="C17" i="12"/>
  <c r="C22" i="10"/>
  <c r="E19" i="10"/>
  <c r="E18" i="10"/>
  <c r="E17" i="10"/>
  <c r="E16" i="10"/>
  <c r="E15" i="10"/>
  <c r="E14" i="10"/>
  <c r="E13" i="10"/>
  <c r="E12" i="10"/>
  <c r="E11" i="10"/>
  <c r="E10" i="10"/>
  <c r="E9" i="10"/>
  <c r="E8" i="10"/>
  <c r="E7" i="10"/>
  <c r="E6" i="10"/>
  <c r="E5" i="10"/>
  <c r="E4" i="10"/>
  <c r="E3" i="10"/>
  <c r="F164" i="9"/>
  <c r="H163" i="9"/>
  <c r="I163" i="9" s="1"/>
  <c r="G163" i="9"/>
  <c r="G162" i="9"/>
  <c r="H162" i="9" s="1"/>
  <c r="I162" i="9" s="1"/>
  <c r="G161" i="9"/>
  <c r="H161" i="9" s="1"/>
  <c r="I161" i="9" s="1"/>
  <c r="G160" i="9"/>
  <c r="H160" i="9" s="1"/>
  <c r="I160" i="9" s="1"/>
  <c r="G159" i="9"/>
  <c r="H159" i="9" s="1"/>
  <c r="I159" i="9" s="1"/>
  <c r="F153" i="9"/>
  <c r="G152" i="9"/>
  <c r="H152" i="9" s="1"/>
  <c r="I152" i="9" s="1"/>
  <c r="H151" i="9"/>
  <c r="I151" i="9" s="1"/>
  <c r="G151" i="9"/>
  <c r="G150" i="9"/>
  <c r="H150" i="9" s="1"/>
  <c r="I150" i="9" s="1"/>
  <c r="G149" i="9"/>
  <c r="G148" i="9"/>
  <c r="H148" i="9" s="1"/>
  <c r="I148" i="9" s="1"/>
  <c r="F143" i="9"/>
  <c r="G142" i="9"/>
  <c r="H142" i="9" s="1"/>
  <c r="I142" i="9" s="1"/>
  <c r="I141" i="9"/>
  <c r="G141" i="9"/>
  <c r="H141" i="9" s="1"/>
  <c r="H140" i="9"/>
  <c r="I140" i="9" s="1"/>
  <c r="G140" i="9"/>
  <c r="G139" i="9"/>
  <c r="H139" i="9" s="1"/>
  <c r="I139" i="9" s="1"/>
  <c r="H137" i="9"/>
  <c r="G137" i="9"/>
  <c r="F128" i="9"/>
  <c r="G127" i="9"/>
  <c r="G126" i="9"/>
  <c r="H126" i="9" s="1"/>
  <c r="I126" i="9" s="1"/>
  <c r="G125" i="9"/>
  <c r="H125" i="9" s="1"/>
  <c r="I125" i="9" s="1"/>
  <c r="H124" i="9"/>
  <c r="I124" i="9" s="1"/>
  <c r="G124" i="9"/>
  <c r="I123" i="9"/>
  <c r="G123" i="9"/>
  <c r="H123" i="9" s="1"/>
  <c r="F119" i="9"/>
  <c r="G118" i="9"/>
  <c r="H118" i="9" s="1"/>
  <c r="I118" i="9" s="1"/>
  <c r="G117" i="9"/>
  <c r="H117" i="9" s="1"/>
  <c r="I117" i="9" s="1"/>
  <c r="G116" i="9"/>
  <c r="H116" i="9" s="1"/>
  <c r="I116" i="9" s="1"/>
  <c r="G115" i="9"/>
  <c r="H115" i="9" s="1"/>
  <c r="I115" i="9" s="1"/>
  <c r="H114" i="9"/>
  <c r="I114" i="9" s="1"/>
  <c r="G114" i="9"/>
  <c r="G113" i="9"/>
  <c r="F108" i="9"/>
  <c r="H107" i="9"/>
  <c r="I107" i="9" s="1"/>
  <c r="G107" i="9"/>
  <c r="I106" i="9"/>
  <c r="G106" i="9"/>
  <c r="H106" i="9" s="1"/>
  <c r="G105" i="9"/>
  <c r="H105" i="9" s="1"/>
  <c r="I105" i="9" s="1"/>
  <c r="G104" i="9"/>
  <c r="H104" i="9" s="1"/>
  <c r="I104" i="9" s="1"/>
  <c r="H103" i="9"/>
  <c r="I103" i="9" s="1"/>
  <c r="G103" i="9"/>
  <c r="G102" i="9"/>
  <c r="H102" i="9" s="1"/>
  <c r="I102" i="9" s="1"/>
  <c r="H101" i="9"/>
  <c r="G101" i="9"/>
  <c r="F91" i="9"/>
  <c r="H90" i="9"/>
  <c r="I90" i="9" s="1"/>
  <c r="G90" i="9"/>
  <c r="G89" i="9"/>
  <c r="H89" i="9" s="1"/>
  <c r="I89" i="9" s="1"/>
  <c r="G88" i="9"/>
  <c r="H88" i="9" s="1"/>
  <c r="I88" i="9" s="1"/>
  <c r="H87" i="9"/>
  <c r="G87" i="9"/>
  <c r="I86" i="9"/>
  <c r="H86" i="9"/>
  <c r="G86" i="9"/>
  <c r="F82" i="9"/>
  <c r="G81" i="9"/>
  <c r="H81" i="9" s="1"/>
  <c r="I81" i="9" s="1"/>
  <c r="H80" i="9"/>
  <c r="I80" i="9" s="1"/>
  <c r="G80" i="9"/>
  <c r="G79" i="9"/>
  <c r="H79" i="9" s="1"/>
  <c r="I79" i="9" s="1"/>
  <c r="H78" i="9"/>
  <c r="I78" i="9" s="1"/>
  <c r="G78" i="9"/>
  <c r="H77" i="9"/>
  <c r="I77" i="9" s="1"/>
  <c r="G77" i="9"/>
  <c r="H76" i="9"/>
  <c r="G76" i="9"/>
  <c r="F67" i="9"/>
  <c r="G66" i="9"/>
  <c r="H66" i="9" s="1"/>
  <c r="I66" i="9" s="1"/>
  <c r="G65" i="9"/>
  <c r="H65" i="9" s="1"/>
  <c r="I65" i="9" s="1"/>
  <c r="H64" i="9"/>
  <c r="I64" i="9" s="1"/>
  <c r="G64" i="9"/>
  <c r="G63" i="9"/>
  <c r="H63" i="9" s="1"/>
  <c r="I63" i="9" s="1"/>
  <c r="G62" i="9"/>
  <c r="F58" i="9"/>
  <c r="F71" i="9" s="1"/>
  <c r="H57" i="9"/>
  <c r="I57" i="9" s="1"/>
  <c r="G57" i="9"/>
  <c r="I56" i="9"/>
  <c r="H56" i="9"/>
  <c r="G56" i="9"/>
  <c r="G55" i="9"/>
  <c r="H55" i="9" s="1"/>
  <c r="I55" i="9" s="1"/>
  <c r="G54" i="9"/>
  <c r="H54" i="9" s="1"/>
  <c r="I54" i="9" s="1"/>
  <c r="G53" i="9"/>
  <c r="G52" i="9"/>
  <c r="H52" i="9" s="1"/>
  <c r="I52" i="9" s="1"/>
  <c r="F44" i="9"/>
  <c r="G43" i="9"/>
  <c r="H43" i="9" s="1"/>
  <c r="I43" i="9" s="1"/>
  <c r="G42" i="9"/>
  <c r="H42" i="9" s="1"/>
  <c r="I42" i="9" s="1"/>
  <c r="G41" i="9"/>
  <c r="H41" i="9" s="1"/>
  <c r="I41" i="9" s="1"/>
  <c r="H40" i="9"/>
  <c r="I40" i="9" s="1"/>
  <c r="G40" i="9"/>
  <c r="G39" i="9"/>
  <c r="F35" i="9"/>
  <c r="G34" i="9"/>
  <c r="H34" i="9" s="1"/>
  <c r="I34" i="9" s="1"/>
  <c r="G33" i="9"/>
  <c r="H33" i="9" s="1"/>
  <c r="I33" i="9" s="1"/>
  <c r="H32" i="9"/>
  <c r="I32" i="9" s="1"/>
  <c r="G32" i="9"/>
  <c r="G31" i="9"/>
  <c r="H31" i="9" s="1"/>
  <c r="I31" i="9" s="1"/>
  <c r="I30" i="9"/>
  <c r="G30" i="9"/>
  <c r="H30" i="9" s="1"/>
  <c r="I29" i="9"/>
  <c r="G29" i="9"/>
  <c r="H29" i="9" s="1"/>
  <c r="G19" i="9"/>
  <c r="F19" i="9"/>
  <c r="H18" i="9"/>
  <c r="I18" i="9" s="1"/>
  <c r="G18" i="9"/>
  <c r="G17" i="9"/>
  <c r="H17" i="9" s="1"/>
  <c r="I17" i="9" s="1"/>
  <c r="H16" i="9"/>
  <c r="I16" i="9" s="1"/>
  <c r="G16" i="9"/>
  <c r="I15" i="9"/>
  <c r="G15" i="9"/>
  <c r="H15" i="9" s="1"/>
  <c r="G14" i="9"/>
  <c r="H14" i="9" s="1"/>
  <c r="F10" i="9"/>
  <c r="G9" i="9"/>
  <c r="H9" i="9" s="1"/>
  <c r="I9" i="9" s="1"/>
  <c r="G8" i="9"/>
  <c r="H8" i="9" s="1"/>
  <c r="I8" i="9" s="1"/>
  <c r="I7" i="9"/>
  <c r="G7" i="9"/>
  <c r="H7" i="9" s="1"/>
  <c r="G6" i="9"/>
  <c r="H6" i="9" s="1"/>
  <c r="I6" i="9" s="1"/>
  <c r="G5" i="9"/>
  <c r="H5" i="9" s="1"/>
  <c r="G4" i="9"/>
  <c r="H4" i="9" s="1"/>
  <c r="I4" i="9" s="1"/>
  <c r="D89"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G3" i="8"/>
  <c r="A3" i="8"/>
  <c r="D64" i="7"/>
  <c r="A61" i="7"/>
  <c r="E60" i="7"/>
  <c r="A60" i="7"/>
  <c r="A59" i="7"/>
  <c r="A58" i="7"/>
  <c r="E57" i="7"/>
  <c r="A57" i="7"/>
  <c r="A56" i="7"/>
  <c r="E55" i="7"/>
  <c r="A55" i="7"/>
  <c r="A54" i="7"/>
  <c r="A53" i="7"/>
  <c r="A52" i="7"/>
  <c r="E51" i="7"/>
  <c r="A51" i="7"/>
  <c r="A50" i="7"/>
  <c r="A49" i="7"/>
  <c r="A48" i="7"/>
  <c r="A47" i="7"/>
  <c r="A46" i="7"/>
  <c r="A45" i="7"/>
  <c r="E44" i="7"/>
  <c r="A44" i="7"/>
  <c r="E43" i="7"/>
  <c r="A43" i="7"/>
  <c r="A42" i="7"/>
  <c r="E41" i="7"/>
  <c r="A41" i="7"/>
  <c r="A40" i="7"/>
  <c r="E39" i="7"/>
  <c r="F39" i="7" s="1"/>
  <c r="A39" i="7"/>
  <c r="A38" i="7"/>
  <c r="A37" i="7"/>
  <c r="E36" i="7"/>
  <c r="A36" i="7"/>
  <c r="A35" i="7"/>
  <c r="A34" i="7"/>
  <c r="A33" i="7"/>
  <c r="A32" i="7"/>
  <c r="A31" i="7"/>
  <c r="A30" i="7"/>
  <c r="A29" i="7"/>
  <c r="A28" i="7"/>
  <c r="A27" i="7"/>
  <c r="A26" i="7"/>
  <c r="A25" i="7"/>
  <c r="A24" i="7"/>
  <c r="E23" i="7"/>
  <c r="A23" i="7"/>
  <c r="A22" i="7"/>
  <c r="E21" i="7"/>
  <c r="A21" i="7"/>
  <c r="E20" i="7"/>
  <c r="A20" i="7"/>
  <c r="A19" i="7"/>
  <c r="A18" i="7"/>
  <c r="A17" i="7"/>
  <c r="A16" i="7"/>
  <c r="E15" i="7"/>
  <c r="A15" i="7"/>
  <c r="A14" i="7"/>
  <c r="A13" i="7"/>
  <c r="E12" i="7"/>
  <c r="A12" i="7"/>
  <c r="A11" i="7"/>
  <c r="E10" i="7"/>
  <c r="A10" i="7"/>
  <c r="A9" i="7"/>
  <c r="A8" i="7"/>
  <c r="A7" i="7"/>
  <c r="A6" i="7"/>
  <c r="E5" i="7"/>
  <c r="A5" i="7"/>
  <c r="A4" i="7"/>
  <c r="A3" i="7"/>
  <c r="D17" i="6"/>
  <c r="G14" i="6"/>
  <c r="G13" i="6"/>
  <c r="G12" i="6"/>
  <c r="G11" i="6"/>
  <c r="G10" i="6"/>
  <c r="G9" i="6"/>
  <c r="G8" i="6"/>
  <c r="G7" i="6"/>
  <c r="G6" i="6"/>
  <c r="G5" i="6"/>
  <c r="G4" i="6"/>
  <c r="G3" i="6"/>
  <c r="I8" i="5"/>
  <c r="I7" i="5"/>
  <c r="E7" i="5"/>
  <c r="I6" i="5"/>
  <c r="E6" i="5"/>
  <c r="I5" i="5"/>
  <c r="E5" i="5"/>
  <c r="I4" i="5"/>
  <c r="I3" i="5"/>
  <c r="E3" i="5"/>
  <c r="F3" i="5" s="1"/>
  <c r="G56" i="3"/>
  <c r="F51" i="7" s="1"/>
  <c r="G51" i="7" s="1"/>
  <c r="J51" i="7" s="1"/>
  <c r="G48" i="3"/>
  <c r="D5" i="11" s="1"/>
  <c r="E5" i="11" s="1"/>
  <c r="K3" i="3"/>
  <c r="C28" i="25" s="1"/>
  <c r="F34" i="25" s="1"/>
  <c r="J3" i="3"/>
  <c r="C28" i="22" s="1"/>
  <c r="F34" i="22" s="1"/>
  <c r="I3" i="3"/>
  <c r="C28" i="26" s="1"/>
  <c r="F34" i="26" s="1"/>
  <c r="H3" i="3"/>
  <c r="C28" i="23" s="1"/>
  <c r="F34" i="23" s="1"/>
  <c r="G3" i="3"/>
  <c r="C28" i="24" s="1"/>
  <c r="F34" i="24" s="1"/>
  <c r="F3" i="3"/>
  <c r="C28" i="21" s="1"/>
  <c r="F34" i="21" s="1"/>
  <c r="F41" i="21" s="1"/>
  <c r="E3" i="3"/>
  <c r="C28" i="20" s="1"/>
  <c r="F34" i="20" s="1"/>
  <c r="D3" i="3"/>
  <c r="C28" i="19" s="1"/>
  <c r="F34" i="19" s="1"/>
  <c r="C3" i="3"/>
  <c r="C28" i="18" s="1"/>
  <c r="F34" i="18" s="1"/>
  <c r="E63" i="18" s="1"/>
  <c r="F63" i="18" s="1"/>
  <c r="A17" i="2"/>
  <c r="A16" i="2"/>
  <c r="A15" i="2"/>
  <c r="A14" i="2"/>
  <c r="A13" i="2"/>
  <c r="A12" i="2"/>
  <c r="A11" i="2"/>
  <c r="A10" i="2"/>
  <c r="A9" i="2"/>
  <c r="A8" i="2"/>
  <c r="A7" i="2"/>
  <c r="A6" i="2"/>
  <c r="A5" i="2"/>
  <c r="A4" i="2"/>
  <c r="A3" i="2"/>
  <c r="A2" i="2"/>
  <c r="A29" i="1"/>
  <c r="A28" i="1"/>
  <c r="A27" i="1"/>
  <c r="A26" i="1"/>
  <c r="A25" i="1"/>
  <c r="A24" i="1"/>
  <c r="A23" i="1"/>
  <c r="A22" i="1"/>
  <c r="A21" i="1"/>
  <c r="A20" i="1"/>
  <c r="A19" i="1"/>
  <c r="A18" i="1"/>
  <c r="A17" i="1"/>
  <c r="A16" i="1"/>
  <c r="A15" i="1"/>
  <c r="A14" i="1"/>
  <c r="A13" i="1"/>
  <c r="A12" i="1"/>
  <c r="A11" i="1"/>
  <c r="A10" i="1"/>
  <c r="A9" i="1"/>
  <c r="A8" i="1"/>
  <c r="A7" i="1"/>
  <c r="A6" i="1"/>
  <c r="A5" i="1"/>
  <c r="A4" i="1"/>
  <c r="A3" i="1"/>
  <c r="F65" i="19" l="1"/>
  <c r="F5" i="7"/>
  <c r="G5" i="7" s="1"/>
  <c r="J5" i="7" s="1"/>
  <c r="F57" i="7"/>
  <c r="E16" i="7"/>
  <c r="E26" i="7"/>
  <c r="E31" i="7"/>
  <c r="D14" i="11"/>
  <c r="E99" i="22"/>
  <c r="E88" i="25"/>
  <c r="E88" i="26"/>
  <c r="F95" i="9"/>
  <c r="D20" i="11"/>
  <c r="E88" i="24"/>
  <c r="E47" i="26"/>
  <c r="E48" i="26" s="1"/>
  <c r="F6" i="5"/>
  <c r="G6" i="5" s="1"/>
  <c r="J6" i="5" s="1"/>
  <c r="K6" i="5" s="1"/>
  <c r="G3" i="4"/>
  <c r="H3" i="4" s="1"/>
  <c r="E7" i="7"/>
  <c r="F7" i="7" s="1"/>
  <c r="E32" i="7"/>
  <c r="E59" i="7"/>
  <c r="G91" i="9"/>
  <c r="D23" i="11"/>
  <c r="F49" i="14"/>
  <c r="E13" i="7"/>
  <c r="E18" i="7"/>
  <c r="F18" i="7" s="1"/>
  <c r="G18" i="7" s="1"/>
  <c r="J18" i="7" s="1"/>
  <c r="E28" i="7"/>
  <c r="E37" i="7"/>
  <c r="F37" i="7" s="1"/>
  <c r="F48" i="9"/>
  <c r="D7" i="12"/>
  <c r="F52" i="14"/>
  <c r="E63" i="21"/>
  <c r="F63" i="21" s="1"/>
  <c r="I35" i="9"/>
  <c r="F41" i="18"/>
  <c r="G35" i="9"/>
  <c r="E4" i="7"/>
  <c r="F4" i="7" s="1"/>
  <c r="G4" i="7" s="1"/>
  <c r="J4" i="7" s="1"/>
  <c r="E29" i="7"/>
  <c r="E34" i="7"/>
  <c r="F34" i="7" s="1"/>
  <c r="G34" i="7" s="1"/>
  <c r="J34" i="7" s="1"/>
  <c r="E50" i="7"/>
  <c r="F50" i="7" s="1"/>
  <c r="G50" i="7" s="1"/>
  <c r="J50" i="7" s="1"/>
  <c r="G44" i="9"/>
  <c r="F132" i="9"/>
  <c r="E22" i="10"/>
  <c r="E24" i="10" s="1"/>
  <c r="F112" i="26" s="1"/>
  <c r="E65" i="22"/>
  <c r="F65" i="22" s="1"/>
  <c r="E99" i="23"/>
  <c r="G128" i="9"/>
  <c r="E17" i="13"/>
  <c r="E20" i="13" s="1"/>
  <c r="E21" i="13" s="1"/>
  <c r="F112" i="24" s="1"/>
  <c r="E99" i="25"/>
  <c r="E99" i="26"/>
  <c r="E10" i="16"/>
  <c r="E12" i="16" s="1"/>
  <c r="E13" i="16" s="1"/>
  <c r="F114" i="24" s="1"/>
  <c r="E88" i="22"/>
  <c r="F23" i="9"/>
  <c r="G89" i="8"/>
  <c r="F91" i="8" s="1"/>
  <c r="F92" i="8" s="1"/>
  <c r="G17" i="6"/>
  <c r="G20" i="6" s="1"/>
  <c r="G21" i="6" s="1"/>
  <c r="F40" i="20"/>
  <c r="E63" i="20"/>
  <c r="F63" i="20" s="1"/>
  <c r="F41" i="20"/>
  <c r="I14" i="9"/>
  <c r="I19" i="9" s="1"/>
  <c r="H19" i="9"/>
  <c r="I5" i="9"/>
  <c r="I10" i="9" s="1"/>
  <c r="H10" i="9"/>
  <c r="E63" i="24"/>
  <c r="F63" i="24" s="1"/>
  <c r="F35" i="24"/>
  <c r="F41" i="24" s="1"/>
  <c r="G10" i="9"/>
  <c r="G23" i="9" s="1"/>
  <c r="I137" i="9"/>
  <c r="I143" i="9" s="1"/>
  <c r="F111" i="24" s="1"/>
  <c r="H143" i="9"/>
  <c r="E63" i="26"/>
  <c r="F63" i="26" s="1"/>
  <c r="F41" i="26"/>
  <c r="F16" i="7"/>
  <c r="G16" i="7" s="1"/>
  <c r="J16" i="7" s="1"/>
  <c r="F47" i="18"/>
  <c r="F41" i="22"/>
  <c r="E63" i="22"/>
  <c r="G3" i="5"/>
  <c r="J3" i="5" s="1"/>
  <c r="F21" i="7"/>
  <c r="G21" i="7" s="1"/>
  <c r="J21" i="7" s="1"/>
  <c r="E14" i="11"/>
  <c r="F14" i="11" s="1"/>
  <c r="H14" i="11" s="1"/>
  <c r="F59" i="7"/>
  <c r="G59" i="7" s="1"/>
  <c r="J59" i="7" s="1"/>
  <c r="G49" i="14"/>
  <c r="H49" i="14" s="1"/>
  <c r="I49" i="14" s="1"/>
  <c r="F7" i="5"/>
  <c r="G7" i="5" s="1"/>
  <c r="J7" i="5" s="1"/>
  <c r="K7" i="5" s="1"/>
  <c r="F23" i="7"/>
  <c r="G23" i="7" s="1"/>
  <c r="J23" i="7" s="1"/>
  <c r="G39" i="7"/>
  <c r="J39" i="7" s="1"/>
  <c r="F12" i="7"/>
  <c r="G12" i="7" s="1"/>
  <c r="J12" i="7" s="1"/>
  <c r="F28" i="7"/>
  <c r="G28" i="7" s="1"/>
  <c r="J28" i="7" s="1"/>
  <c r="G57" i="7"/>
  <c r="J57" i="7" s="1"/>
  <c r="E23" i="11"/>
  <c r="F23" i="11" s="1"/>
  <c r="H23" i="11" s="1"/>
  <c r="E7" i="12"/>
  <c r="F7" i="12" s="1"/>
  <c r="H7" i="12" s="1"/>
  <c r="G52" i="14"/>
  <c r="H52" i="14" s="1"/>
  <c r="I52" i="14" s="1"/>
  <c r="F41" i="19"/>
  <c r="E63" i="19"/>
  <c r="F62" i="14"/>
  <c r="F65" i="14"/>
  <c r="F57" i="14"/>
  <c r="F64" i="14"/>
  <c r="F60" i="14"/>
  <c r="F54" i="14"/>
  <c r="F46" i="14"/>
  <c r="F45" i="14"/>
  <c r="F41" i="14"/>
  <c r="F61" i="14"/>
  <c r="F56" i="14"/>
  <c r="F53" i="14"/>
  <c r="F50" i="14"/>
  <c r="F26" i="14"/>
  <c r="F16" i="14"/>
  <c r="F6" i="14"/>
  <c r="F51" i="14"/>
  <c r="F47" i="14"/>
  <c r="F38" i="14"/>
  <c r="F58" i="14"/>
  <c r="D13" i="12"/>
  <c r="D4" i="12"/>
  <c r="D28" i="11"/>
  <c r="D19" i="11"/>
  <c r="D12" i="11"/>
  <c r="D3" i="11"/>
  <c r="E54" i="7"/>
  <c r="E46" i="7"/>
  <c r="E38" i="7"/>
  <c r="F63" i="14"/>
  <c r="F55" i="14"/>
  <c r="F48" i="14"/>
  <c r="F44" i="14"/>
  <c r="F27" i="14"/>
  <c r="D8" i="12"/>
  <c r="D10" i="12"/>
  <c r="D3" i="12"/>
  <c r="D25" i="11"/>
  <c r="D18" i="11"/>
  <c r="D9" i="11"/>
  <c r="F59" i="14"/>
  <c r="D4" i="11"/>
  <c r="E58" i="7"/>
  <c r="E49" i="7"/>
  <c r="E42" i="7"/>
  <c r="E35" i="7"/>
  <c r="E27" i="7"/>
  <c r="E19" i="7"/>
  <c r="E11" i="7"/>
  <c r="E3" i="7"/>
  <c r="D6" i="12"/>
  <c r="D22" i="11"/>
  <c r="D16" i="11"/>
  <c r="D13" i="11"/>
  <c r="D10" i="11"/>
  <c r="D7" i="11"/>
  <c r="E56" i="7"/>
  <c r="E47" i="7"/>
  <c r="E40" i="7"/>
  <c r="E30" i="7"/>
  <c r="E22" i="7"/>
  <c r="E14" i="7"/>
  <c r="E6" i="7"/>
  <c r="E8" i="5"/>
  <c r="E4" i="5"/>
  <c r="D9" i="12"/>
  <c r="D5" i="12"/>
  <c r="E61" i="7"/>
  <c r="E52" i="7"/>
  <c r="E45" i="7"/>
  <c r="E33" i="7"/>
  <c r="E25" i="7"/>
  <c r="E17" i="7"/>
  <c r="E9" i="7"/>
  <c r="F40" i="14"/>
  <c r="D12" i="12"/>
  <c r="D6" i="11"/>
  <c r="F37" i="14"/>
  <c r="F43" i="14"/>
  <c r="F39" i="14"/>
  <c r="D27" i="11"/>
  <c r="D24" i="11"/>
  <c r="D21" i="11"/>
  <c r="D15" i="11"/>
  <c r="E8" i="7"/>
  <c r="F10" i="7"/>
  <c r="G10" i="7" s="1"/>
  <c r="J10" i="7" s="1"/>
  <c r="E24" i="7"/>
  <c r="F26" i="7"/>
  <c r="G26" i="7" s="1"/>
  <c r="J26" i="7" s="1"/>
  <c r="E48" i="7"/>
  <c r="E53" i="7"/>
  <c r="F55" i="7"/>
  <c r="G55" i="7" s="1"/>
  <c r="J55" i="7" s="1"/>
  <c r="F60" i="7"/>
  <c r="G60" i="7" s="1"/>
  <c r="J60" i="7" s="1"/>
  <c r="H35" i="9"/>
  <c r="H39" i="9"/>
  <c r="H127" i="9"/>
  <c r="I127" i="9" s="1"/>
  <c r="I128" i="9" s="1"/>
  <c r="D8" i="11"/>
  <c r="D17" i="11"/>
  <c r="F5" i="5"/>
  <c r="G5" i="5" s="1"/>
  <c r="J5" i="5" s="1"/>
  <c r="K5" i="5" s="1"/>
  <c r="F44" i="7"/>
  <c r="G44" i="7" s="1"/>
  <c r="J44" i="7" s="1"/>
  <c r="G143" i="9"/>
  <c r="F5" i="11"/>
  <c r="H5" i="11" s="1"/>
  <c r="E63" i="25"/>
  <c r="F63" i="25" s="1"/>
  <c r="F41" i="25"/>
  <c r="H91" i="9"/>
  <c r="D26" i="11"/>
  <c r="D11" i="12"/>
  <c r="F42" i="14"/>
  <c r="I164" i="9"/>
  <c r="F111" i="26" s="1"/>
  <c r="E20" i="11"/>
  <c r="F20" i="11"/>
  <c r="H20" i="11" s="1"/>
  <c r="G7" i="7"/>
  <c r="J7" i="7" s="1"/>
  <c r="H108" i="9"/>
  <c r="I101" i="9"/>
  <c r="I108" i="9" s="1"/>
  <c r="F111" i="23" s="1"/>
  <c r="H62" i="9"/>
  <c r="G67" i="9"/>
  <c r="F72" i="18"/>
  <c r="F77" i="18" s="1"/>
  <c r="F46" i="21"/>
  <c r="F47" i="21"/>
  <c r="F129" i="21"/>
  <c r="I3" i="4"/>
  <c r="F13" i="7"/>
  <c r="G13" i="7" s="1"/>
  <c r="J13" i="7" s="1"/>
  <c r="F15" i="7"/>
  <c r="G15" i="7" s="1"/>
  <c r="J15" i="7" s="1"/>
  <c r="F29" i="7"/>
  <c r="G29" i="7" s="1"/>
  <c r="J29" i="7" s="1"/>
  <c r="F43" i="7"/>
  <c r="G43" i="7" s="1"/>
  <c r="J43" i="7" s="1"/>
  <c r="H53" i="9"/>
  <c r="I53" i="9" s="1"/>
  <c r="I58" i="9" s="1"/>
  <c r="G58" i="9"/>
  <c r="I87" i="9"/>
  <c r="I91" i="9" s="1"/>
  <c r="G153" i="9"/>
  <c r="H149" i="9"/>
  <c r="I149" i="9" s="1"/>
  <c r="I153" i="9" s="1"/>
  <c r="F111" i="25" s="1"/>
  <c r="D14" i="12"/>
  <c r="F20" i="7"/>
  <c r="G20" i="7" s="1"/>
  <c r="J20" i="7" s="1"/>
  <c r="F36" i="7"/>
  <c r="G36" i="7" s="1"/>
  <c r="J36" i="7" s="1"/>
  <c r="F41" i="7"/>
  <c r="G41" i="7" s="1"/>
  <c r="J41" i="7" s="1"/>
  <c r="G82" i="9"/>
  <c r="G95" i="9" s="1"/>
  <c r="H164" i="9"/>
  <c r="D11" i="11"/>
  <c r="E65" i="21"/>
  <c r="F65" i="21" s="1"/>
  <c r="F72" i="21" s="1"/>
  <c r="F77" i="21" s="1"/>
  <c r="E10" i="17"/>
  <c r="E12" i="17" s="1"/>
  <c r="F114" i="26" s="1"/>
  <c r="E65" i="24"/>
  <c r="F65" i="24" s="1"/>
  <c r="G108" i="9"/>
  <c r="F41" i="23"/>
  <c r="E63" i="23"/>
  <c r="F63" i="23" s="1"/>
  <c r="H82" i="9"/>
  <c r="G119" i="9"/>
  <c r="G132" i="9" s="1"/>
  <c r="G164" i="9"/>
  <c r="I76" i="9"/>
  <c r="I82" i="9" s="1"/>
  <c r="H113" i="9"/>
  <c r="E65" i="23"/>
  <c r="F65" i="23" s="1"/>
  <c r="E99" i="21"/>
  <c r="F65" i="18"/>
  <c r="E6" i="15"/>
  <c r="E8" i="15" s="1"/>
  <c r="E9" i="15" s="1"/>
  <c r="F114" i="25" s="1"/>
  <c r="E88" i="19"/>
  <c r="E88" i="20"/>
  <c r="E65" i="26"/>
  <c r="F65" i="26" s="1"/>
  <c r="E65" i="20"/>
  <c r="F65" i="20" s="1"/>
  <c r="E88" i="18"/>
  <c r="E48" i="19"/>
  <c r="E48" i="22"/>
  <c r="E88" i="21"/>
  <c r="F65" i="25"/>
  <c r="F46" i="18" l="1"/>
  <c r="F48" i="18" s="1"/>
  <c r="G71" i="9"/>
  <c r="G37" i="7"/>
  <c r="J37" i="7" s="1"/>
  <c r="F32" i="7"/>
  <c r="G32" i="7" s="1"/>
  <c r="J32" i="7" s="1"/>
  <c r="H23" i="9"/>
  <c r="F129" i="18"/>
  <c r="F63" i="19"/>
  <c r="F72" i="19" s="1"/>
  <c r="F77" i="19" s="1"/>
  <c r="I95" i="9"/>
  <c r="I96" i="9" s="1"/>
  <c r="F111" i="21" s="1"/>
  <c r="F115" i="21" s="1"/>
  <c r="F133" i="21" s="1"/>
  <c r="F31" i="7"/>
  <c r="G31" i="7" s="1"/>
  <c r="J31" i="7" s="1"/>
  <c r="F55" i="18"/>
  <c r="G48" i="9"/>
  <c r="F63" i="22"/>
  <c r="F72" i="22" s="1"/>
  <c r="F77" i="22" s="1"/>
  <c r="F112" i="25"/>
  <c r="P52" i="14"/>
  <c r="N52" i="14"/>
  <c r="O52" i="14"/>
  <c r="P49" i="14"/>
  <c r="N49" i="14"/>
  <c r="O49" i="14" s="1"/>
  <c r="F129" i="24"/>
  <c r="F47" i="24"/>
  <c r="F46" i="24"/>
  <c r="F45" i="7"/>
  <c r="G45" i="7" s="1"/>
  <c r="J45" i="7" s="1"/>
  <c r="F35" i="7"/>
  <c r="G35" i="7" s="1"/>
  <c r="J35" i="7" s="1"/>
  <c r="G63" i="14"/>
  <c r="H63" i="14" s="1"/>
  <c r="I63" i="14" s="1"/>
  <c r="G54" i="14"/>
  <c r="H54" i="14"/>
  <c r="I54" i="14" s="1"/>
  <c r="G8" i="7"/>
  <c r="J8" i="7" s="1"/>
  <c r="F8" i="7"/>
  <c r="F22" i="7"/>
  <c r="G22" i="7"/>
  <c r="J22" i="7" s="1"/>
  <c r="F38" i="7"/>
  <c r="G38" i="7" s="1"/>
  <c r="J38" i="7" s="1"/>
  <c r="E15" i="11"/>
  <c r="F15" i="11" s="1"/>
  <c r="H15" i="11" s="1"/>
  <c r="F61" i="7"/>
  <c r="G61" i="7" s="1"/>
  <c r="J61" i="7" s="1"/>
  <c r="F30" i="7"/>
  <c r="G30" i="7" s="1"/>
  <c r="J30" i="7" s="1"/>
  <c r="F49" i="7"/>
  <c r="G49" i="7"/>
  <c r="J49" i="7" s="1"/>
  <c r="F46" i="7"/>
  <c r="G46" i="7" s="1"/>
  <c r="J46" i="7" s="1"/>
  <c r="G64" i="14"/>
  <c r="H64" i="14" s="1"/>
  <c r="I64" i="14" s="1"/>
  <c r="F53" i="7"/>
  <c r="G53" i="7" s="1"/>
  <c r="J53" i="7" s="1"/>
  <c r="E5" i="12"/>
  <c r="F5" i="12" s="1"/>
  <c r="H5" i="12" s="1"/>
  <c r="E8" i="12"/>
  <c r="F8" i="12" s="1"/>
  <c r="H8" i="12" s="1"/>
  <c r="G56" i="14"/>
  <c r="H56" i="14" s="1"/>
  <c r="I56" i="14" s="1"/>
  <c r="E24" i="11"/>
  <c r="F24" i="11" s="1"/>
  <c r="H24" i="11" s="1"/>
  <c r="G27" i="14"/>
  <c r="H27" i="14" s="1"/>
  <c r="I27" i="14" s="1"/>
  <c r="E11" i="11"/>
  <c r="F11" i="11"/>
  <c r="H11" i="11" s="1"/>
  <c r="F72" i="25"/>
  <c r="F77" i="25" s="1"/>
  <c r="H153" i="9"/>
  <c r="F48" i="7"/>
  <c r="G48" i="7" s="1"/>
  <c r="J48" i="7" s="1"/>
  <c r="E27" i="11"/>
  <c r="F27" i="11" s="1"/>
  <c r="H27" i="11" s="1"/>
  <c r="G17" i="7"/>
  <c r="J17" i="7" s="1"/>
  <c r="F17" i="7"/>
  <c r="F4" i="5"/>
  <c r="G4" i="5"/>
  <c r="J4" i="5" s="1"/>
  <c r="K4" i="5" s="1"/>
  <c r="F56" i="7"/>
  <c r="G56" i="7" s="1"/>
  <c r="J56" i="7" s="1"/>
  <c r="F11" i="7"/>
  <c r="G11" i="7"/>
  <c r="J11" i="7" s="1"/>
  <c r="H59" i="14"/>
  <c r="I59" i="14" s="1"/>
  <c r="G59" i="14"/>
  <c r="G44" i="14"/>
  <c r="H44" i="14" s="1"/>
  <c r="I44" i="14" s="1"/>
  <c r="E12" i="11"/>
  <c r="F12" i="11"/>
  <c r="H12" i="11" s="1"/>
  <c r="G51" i="14"/>
  <c r="H51" i="14" s="1"/>
  <c r="I51" i="14" s="1"/>
  <c r="G41" i="14"/>
  <c r="H41" i="14" s="1"/>
  <c r="I41" i="14" s="1"/>
  <c r="G62" i="14"/>
  <c r="H62" i="14" s="1"/>
  <c r="I62" i="14" s="1"/>
  <c r="F129" i="22"/>
  <c r="F47" i="22"/>
  <c r="F46" i="22"/>
  <c r="F57" i="18"/>
  <c r="I113" i="9"/>
  <c r="I119" i="9" s="1"/>
  <c r="I132" i="9" s="1"/>
  <c r="F111" i="22" s="1"/>
  <c r="F115" i="22" s="1"/>
  <c r="F133" i="22" s="1"/>
  <c r="H119" i="9"/>
  <c r="H132" i="9" s="1"/>
  <c r="E26" i="11"/>
  <c r="F26" i="11" s="1"/>
  <c r="H26" i="11" s="1"/>
  <c r="G37" i="14"/>
  <c r="H37" i="14" s="1"/>
  <c r="I37" i="14" s="1"/>
  <c r="F14" i="7"/>
  <c r="G14" i="7"/>
  <c r="J14" i="7" s="1"/>
  <c r="E13" i="11"/>
  <c r="F13" i="11" s="1"/>
  <c r="H13" i="11" s="1"/>
  <c r="E25" i="11"/>
  <c r="F25" i="11" s="1"/>
  <c r="H25" i="11" s="1"/>
  <c r="E4" i="12"/>
  <c r="F4" i="12" s="1"/>
  <c r="H4" i="12" s="1"/>
  <c r="G26" i="14"/>
  <c r="H26" i="14" s="1"/>
  <c r="I26" i="14" s="1"/>
  <c r="E6" i="11"/>
  <c r="F6" i="11"/>
  <c r="H6" i="11" s="1"/>
  <c r="G52" i="7"/>
  <c r="J52" i="7" s="1"/>
  <c r="F52" i="7"/>
  <c r="E16" i="11"/>
  <c r="F16" i="11"/>
  <c r="H16" i="11" s="1"/>
  <c r="F42" i="7"/>
  <c r="G42" i="7" s="1"/>
  <c r="J42" i="7" s="1"/>
  <c r="E3" i="12"/>
  <c r="F3" i="12"/>
  <c r="H3" i="12" s="1"/>
  <c r="E13" i="12"/>
  <c r="F13" i="12" s="1"/>
  <c r="H13" i="12" s="1"/>
  <c r="G50" i="14"/>
  <c r="H50" i="14"/>
  <c r="I50" i="14" s="1"/>
  <c r="G60" i="14"/>
  <c r="H60" i="14" s="1"/>
  <c r="I60" i="14" s="1"/>
  <c r="E12" i="12"/>
  <c r="F12" i="12" s="1"/>
  <c r="H12" i="12" s="1"/>
  <c r="E22" i="11"/>
  <c r="F22" i="11"/>
  <c r="H22" i="11" s="1"/>
  <c r="E10" i="12"/>
  <c r="F10" i="12" s="1"/>
  <c r="H10" i="12" s="1"/>
  <c r="G58" i="14"/>
  <c r="H58" i="14"/>
  <c r="I58" i="14" s="1"/>
  <c r="G53" i="14"/>
  <c r="H53" i="14" s="1"/>
  <c r="I53" i="14" s="1"/>
  <c r="K3" i="4"/>
  <c r="F49" i="27" s="1"/>
  <c r="J3" i="4"/>
  <c r="E49" i="27" s="1"/>
  <c r="E17" i="11"/>
  <c r="F17" i="11" s="1"/>
  <c r="H17" i="11" s="1"/>
  <c r="E21" i="11"/>
  <c r="F21" i="11"/>
  <c r="H21" i="11" s="1"/>
  <c r="H40" i="14"/>
  <c r="I40" i="14" s="1"/>
  <c r="G40" i="14"/>
  <c r="F40" i="7"/>
  <c r="G40" i="7"/>
  <c r="J40" i="7" s="1"/>
  <c r="E6" i="12"/>
  <c r="F6" i="12"/>
  <c r="H6" i="12" s="1"/>
  <c r="F58" i="7"/>
  <c r="G58" i="7" s="1"/>
  <c r="J58" i="7" s="1"/>
  <c r="F54" i="7"/>
  <c r="G54" i="7" s="1"/>
  <c r="J54" i="7" s="1"/>
  <c r="G38" i="14"/>
  <c r="H38" i="14" s="1"/>
  <c r="I38" i="14" s="1"/>
  <c r="G57" i="14"/>
  <c r="H57" i="14"/>
  <c r="I57" i="14" s="1"/>
  <c r="K3" i="5"/>
  <c r="F86" i="18"/>
  <c r="F54" i="18"/>
  <c r="F47" i="20"/>
  <c r="F46" i="20"/>
  <c r="F129" i="20"/>
  <c r="H95" i="9"/>
  <c r="F129" i="25"/>
  <c r="F47" i="25"/>
  <c r="F46" i="25"/>
  <c r="E8" i="11"/>
  <c r="F8" i="11"/>
  <c r="H8" i="11" s="1"/>
  <c r="F9" i="7"/>
  <c r="G9" i="7" s="1"/>
  <c r="J9" i="7" s="1"/>
  <c r="E9" i="12"/>
  <c r="F9" i="12" s="1"/>
  <c r="H9" i="12" s="1"/>
  <c r="F47" i="7"/>
  <c r="G47" i="7"/>
  <c r="J47" i="7" s="1"/>
  <c r="E64" i="7"/>
  <c r="F3" i="7"/>
  <c r="G3" i="7" s="1"/>
  <c r="E4" i="11"/>
  <c r="F4" i="11"/>
  <c r="H4" i="11" s="1"/>
  <c r="F3" i="11"/>
  <c r="H3" i="11" s="1"/>
  <c r="E3" i="11"/>
  <c r="G47" i="14"/>
  <c r="H47" i="14"/>
  <c r="I47" i="14" s="1"/>
  <c r="G61" i="14"/>
  <c r="H61" i="14" s="1"/>
  <c r="I61" i="14" s="1"/>
  <c r="G65" i="14"/>
  <c r="H65" i="14"/>
  <c r="I65" i="14" s="1"/>
  <c r="F84" i="18"/>
  <c r="F72" i="24"/>
  <c r="F77" i="24" s="1"/>
  <c r="F72" i="20"/>
  <c r="F77" i="20" s="1"/>
  <c r="F72" i="23"/>
  <c r="F77" i="23" s="1"/>
  <c r="H58" i="9"/>
  <c r="F47" i="23"/>
  <c r="F46" i="23"/>
  <c r="F129" i="23"/>
  <c r="H67" i="9"/>
  <c r="I62" i="9"/>
  <c r="I67" i="9" s="1"/>
  <c r="I71" i="9" s="1"/>
  <c r="F111" i="20" s="1"/>
  <c r="F115" i="20" s="1"/>
  <c r="F133" i="20" s="1"/>
  <c r="G42" i="14"/>
  <c r="H42" i="14" s="1"/>
  <c r="I42" i="14" s="1"/>
  <c r="G39" i="14"/>
  <c r="H39" i="14" s="1"/>
  <c r="I39" i="14" s="1"/>
  <c r="F25" i="7"/>
  <c r="G25" i="7" s="1"/>
  <c r="J25" i="7" s="1"/>
  <c r="F8" i="5"/>
  <c r="G8" i="5"/>
  <c r="J8" i="5" s="1"/>
  <c r="K8" i="5" s="1"/>
  <c r="E7" i="11"/>
  <c r="F7" i="11" s="1"/>
  <c r="H7" i="11" s="1"/>
  <c r="F19" i="7"/>
  <c r="G19" i="7" s="1"/>
  <c r="J19" i="7" s="1"/>
  <c r="E9" i="11"/>
  <c r="F9" i="11" s="1"/>
  <c r="H9" i="11" s="1"/>
  <c r="G48" i="14"/>
  <c r="H48" i="14" s="1"/>
  <c r="I48" i="14" s="1"/>
  <c r="E19" i="11"/>
  <c r="F19" i="11" s="1"/>
  <c r="H19" i="11" s="1"/>
  <c r="G6" i="14"/>
  <c r="H6" i="14" s="1"/>
  <c r="I6" i="14" s="1"/>
  <c r="G45" i="14"/>
  <c r="H45" i="14" s="1"/>
  <c r="I45" i="14" s="1"/>
  <c r="F85" i="18"/>
  <c r="F82" i="18"/>
  <c r="F129" i="26"/>
  <c r="F46" i="26"/>
  <c r="F47" i="26"/>
  <c r="H128" i="9"/>
  <c r="E14" i="12"/>
  <c r="F14" i="12" s="1"/>
  <c r="H14" i="12" s="1"/>
  <c r="F48" i="21"/>
  <c r="E11" i="12"/>
  <c r="F11" i="12" s="1"/>
  <c r="H11" i="12" s="1"/>
  <c r="I39" i="9"/>
  <c r="I44" i="9" s="1"/>
  <c r="I48" i="9" s="1"/>
  <c r="F111" i="19" s="1"/>
  <c r="F115" i="19" s="1"/>
  <c r="F133" i="19" s="1"/>
  <c r="H44" i="9"/>
  <c r="H48" i="9" s="1"/>
  <c r="F24" i="7"/>
  <c r="G24" i="7" s="1"/>
  <c r="J24" i="7" s="1"/>
  <c r="G43" i="14"/>
  <c r="H43" i="14" s="1"/>
  <c r="I43" i="14" s="1"/>
  <c r="F33" i="7"/>
  <c r="G33" i="7" s="1"/>
  <c r="J33" i="7" s="1"/>
  <c r="F6" i="7"/>
  <c r="G6" i="7"/>
  <c r="J6" i="7" s="1"/>
  <c r="E10" i="11"/>
  <c r="F10" i="11" s="1"/>
  <c r="H10" i="11" s="1"/>
  <c r="F27" i="7"/>
  <c r="G27" i="7"/>
  <c r="J27" i="7" s="1"/>
  <c r="E18" i="11"/>
  <c r="F18" i="11" s="1"/>
  <c r="H18" i="11" s="1"/>
  <c r="G55" i="14"/>
  <c r="H55" i="14"/>
  <c r="I55" i="14" s="1"/>
  <c r="E28" i="11"/>
  <c r="F28" i="11" s="1"/>
  <c r="H28" i="11" s="1"/>
  <c r="G16" i="14"/>
  <c r="H16" i="14"/>
  <c r="I16" i="14" s="1"/>
  <c r="G46" i="14"/>
  <c r="H46" i="14" s="1"/>
  <c r="I46" i="14" s="1"/>
  <c r="F129" i="19"/>
  <c r="F47" i="19"/>
  <c r="F46" i="19"/>
  <c r="F48" i="19" s="1"/>
  <c r="F75" i="19" s="1"/>
  <c r="F87" i="19"/>
  <c r="F86" i="19"/>
  <c r="F52" i="18"/>
  <c r="F53" i="18"/>
  <c r="F72" i="26"/>
  <c r="F77" i="26" s="1"/>
  <c r="I23" i="9"/>
  <c r="I24" i="9" s="1"/>
  <c r="F111" i="18" s="1"/>
  <c r="F115" i="18" s="1"/>
  <c r="F133" i="18" s="1"/>
  <c r="F48" i="26" l="1"/>
  <c r="J10" i="5"/>
  <c r="E53" i="27" s="1"/>
  <c r="F75" i="18"/>
  <c r="F51" i="18"/>
  <c r="F59" i="18" s="1"/>
  <c r="F76" i="18" s="1"/>
  <c r="F78" i="18" s="1"/>
  <c r="F87" i="18"/>
  <c r="K10" i="5"/>
  <c r="F53" i="27" s="1"/>
  <c r="F58" i="18"/>
  <c r="F48" i="23"/>
  <c r="F48" i="25"/>
  <c r="F56" i="18"/>
  <c r="F83" i="18"/>
  <c r="P6" i="14"/>
  <c r="P7" i="14" s="1"/>
  <c r="F113" i="23" s="1"/>
  <c r="F115" i="23" s="1"/>
  <c r="F133" i="23" s="1"/>
  <c r="N6" i="14"/>
  <c r="O6" i="14" s="1"/>
  <c r="P48" i="14"/>
  <c r="N48" i="14"/>
  <c r="O48" i="14" s="1"/>
  <c r="N39" i="14"/>
  <c r="O39" i="14" s="1"/>
  <c r="P39" i="14"/>
  <c r="N46" i="14"/>
  <c r="O46" i="14" s="1"/>
  <c r="P46" i="14"/>
  <c r="N42" i="14"/>
  <c r="P42" i="14"/>
  <c r="O42" i="14"/>
  <c r="N27" i="14"/>
  <c r="O27" i="14" s="1"/>
  <c r="P27" i="14"/>
  <c r="N63" i="14"/>
  <c r="O63" i="14" s="1"/>
  <c r="P63" i="14"/>
  <c r="P38" i="14"/>
  <c r="N38" i="14"/>
  <c r="O38" i="14" s="1"/>
  <c r="P41" i="14"/>
  <c r="N41" i="14"/>
  <c r="O41" i="14" s="1"/>
  <c r="P56" i="14"/>
  <c r="N56" i="14"/>
  <c r="O56" i="14" s="1"/>
  <c r="P44" i="14"/>
  <c r="O44" i="14"/>
  <c r="N44" i="14"/>
  <c r="P61" i="14"/>
  <c r="N61" i="14"/>
  <c r="O61" i="14" s="1"/>
  <c r="N37" i="14"/>
  <c r="O37" i="14" s="1"/>
  <c r="P37" i="14"/>
  <c r="P45" i="14"/>
  <c r="N45" i="14"/>
  <c r="O45" i="14" s="1"/>
  <c r="N51" i="14"/>
  <c r="O51" i="14" s="1"/>
  <c r="P51" i="14"/>
  <c r="P16" i="14"/>
  <c r="P17" i="14" s="1"/>
  <c r="F113" i="25" s="1"/>
  <c r="F115" i="25" s="1"/>
  <c r="F133" i="25" s="1"/>
  <c r="N16" i="14"/>
  <c r="O16" i="14" s="1"/>
  <c r="F75" i="21"/>
  <c r="F85" i="21"/>
  <c r="F52" i="21"/>
  <c r="F87" i="21"/>
  <c r="F51" i="21"/>
  <c r="F53" i="21"/>
  <c r="F86" i="21"/>
  <c r="F55" i="21"/>
  <c r="F56" i="21"/>
  <c r="F84" i="21"/>
  <c r="F82" i="21"/>
  <c r="F54" i="21"/>
  <c r="F57" i="21"/>
  <c r="F83" i="21"/>
  <c r="F58" i="21"/>
  <c r="H30" i="11"/>
  <c r="N53" i="14"/>
  <c r="O53" i="14" s="1"/>
  <c r="P53" i="14"/>
  <c r="P59" i="14"/>
  <c r="N59" i="14"/>
  <c r="O59" i="14" s="1"/>
  <c r="P64" i="14"/>
  <c r="N64" i="14"/>
  <c r="O64" i="14" s="1"/>
  <c r="N65" i="14"/>
  <c r="O65" i="14" s="1"/>
  <c r="P65" i="14"/>
  <c r="F84" i="23"/>
  <c r="F52" i="23"/>
  <c r="F54" i="25"/>
  <c r="F87" i="25"/>
  <c r="N58" i="14"/>
  <c r="O58" i="14" s="1"/>
  <c r="P58" i="14"/>
  <c r="F58" i="19"/>
  <c r="F88" i="18"/>
  <c r="F131" i="18" s="1"/>
  <c r="F85" i="23"/>
  <c r="J3" i="7"/>
  <c r="J64" i="7" s="1"/>
  <c r="G64" i="7"/>
  <c r="F55" i="25"/>
  <c r="O57" i="14"/>
  <c r="N57" i="14"/>
  <c r="P57" i="14"/>
  <c r="P60" i="14"/>
  <c r="N60" i="14"/>
  <c r="O60" i="14" s="1"/>
  <c r="P26" i="14"/>
  <c r="P28" i="14" s="1"/>
  <c r="F113" i="26" s="1"/>
  <c r="N26" i="14"/>
  <c r="O26" i="14" s="1"/>
  <c r="O43" i="14"/>
  <c r="N43" i="14"/>
  <c r="P43" i="14"/>
  <c r="H17" i="12"/>
  <c r="N54" i="14"/>
  <c r="O54" i="14" s="1"/>
  <c r="P54" i="14"/>
  <c r="F84" i="19"/>
  <c r="F57" i="19"/>
  <c r="F82" i="19"/>
  <c r="F85" i="19"/>
  <c r="F52" i="26"/>
  <c r="P40" i="14"/>
  <c r="N40" i="14"/>
  <c r="O40" i="14" s="1"/>
  <c r="F51" i="19"/>
  <c r="F83" i="19"/>
  <c r="P55" i="14"/>
  <c r="N55" i="14"/>
  <c r="O55" i="14" s="1"/>
  <c r="F57" i="26"/>
  <c r="F56" i="23"/>
  <c r="H71" i="9"/>
  <c r="F64" i="7"/>
  <c r="F58" i="25"/>
  <c r="F84" i="25"/>
  <c r="F48" i="24"/>
  <c r="F53" i="19"/>
  <c r="F52" i="19"/>
  <c r="F86" i="26"/>
  <c r="F57" i="23"/>
  <c r="F54" i="23"/>
  <c r="N47" i="14"/>
  <c r="O47" i="14" s="1"/>
  <c r="P47" i="14"/>
  <c r="F85" i="25"/>
  <c r="F52" i="25"/>
  <c r="N50" i="14"/>
  <c r="O50" i="14"/>
  <c r="P50" i="14"/>
  <c r="N62" i="14"/>
  <c r="O62" i="14" s="1"/>
  <c r="P62" i="14"/>
  <c r="F58" i="26"/>
  <c r="F53" i="26"/>
  <c r="F53" i="23"/>
  <c r="F87" i="23"/>
  <c r="F55" i="23"/>
  <c r="F56" i="25"/>
  <c r="F48" i="22"/>
  <c r="F54" i="19"/>
  <c r="F55" i="19"/>
  <c r="F56" i="19"/>
  <c r="F56" i="26"/>
  <c r="F85" i="26"/>
  <c r="F83" i="26"/>
  <c r="F83" i="23"/>
  <c r="F51" i="23"/>
  <c r="F86" i="25"/>
  <c r="F51" i="25"/>
  <c r="F48" i="20"/>
  <c r="F93" i="18" l="1"/>
  <c r="F130" i="18"/>
  <c r="F94" i="18"/>
  <c r="F97" i="18"/>
  <c r="F96" i="18"/>
  <c r="F95" i="18"/>
  <c r="F98" i="18"/>
  <c r="F99" i="18" s="1"/>
  <c r="F105" i="18" s="1"/>
  <c r="F107" i="18" s="1"/>
  <c r="F132" i="18" s="1"/>
  <c r="F134" i="18" s="1"/>
  <c r="F119" i="18" s="1"/>
  <c r="F133" i="26"/>
  <c r="F115" i="26"/>
  <c r="F75" i="25"/>
  <c r="F82" i="25"/>
  <c r="F57" i="25"/>
  <c r="F83" i="25"/>
  <c r="F53" i="25"/>
  <c r="F59" i="25" s="1"/>
  <c r="F76" i="25" s="1"/>
  <c r="F78" i="25" s="1"/>
  <c r="F75" i="26"/>
  <c r="F55" i="26"/>
  <c r="F82" i="26"/>
  <c r="F88" i="26" s="1"/>
  <c r="F131" i="26" s="1"/>
  <c r="F51" i="26"/>
  <c r="F87" i="26"/>
  <c r="F54" i="26"/>
  <c r="F84" i="26"/>
  <c r="F88" i="23"/>
  <c r="F131" i="23" s="1"/>
  <c r="F59" i="26"/>
  <c r="F76" i="26" s="1"/>
  <c r="F78" i="26" s="1"/>
  <c r="F98" i="26" s="1"/>
  <c r="F75" i="23"/>
  <c r="F86" i="23"/>
  <c r="F82" i="23"/>
  <c r="F58" i="23"/>
  <c r="F75" i="24"/>
  <c r="F83" i="24"/>
  <c r="F51" i="24"/>
  <c r="F53" i="24"/>
  <c r="F56" i="24"/>
  <c r="F84" i="24"/>
  <c r="F52" i="24"/>
  <c r="F58" i="24"/>
  <c r="F55" i="24"/>
  <c r="F82" i="24"/>
  <c r="F54" i="24"/>
  <c r="F86" i="24"/>
  <c r="F85" i="24"/>
  <c r="F87" i="24"/>
  <c r="F57" i="24"/>
  <c r="F57" i="27"/>
  <c r="J68" i="7"/>
  <c r="E57" i="27" s="1"/>
  <c r="F66" i="27"/>
  <c r="H33" i="11"/>
  <c r="E66" i="27" s="1"/>
  <c r="P66" i="14"/>
  <c r="F113" i="24" s="1"/>
  <c r="F115" i="24" s="1"/>
  <c r="F133" i="24" s="1"/>
  <c r="F61" i="27"/>
  <c r="H19" i="12"/>
  <c r="E61" i="27" s="1"/>
  <c r="F59" i="21"/>
  <c r="F76" i="21" s="1"/>
  <c r="F78" i="21" s="1"/>
  <c r="F59" i="19"/>
  <c r="F76" i="19" s="1"/>
  <c r="F78" i="19" s="1"/>
  <c r="F88" i="19"/>
  <c r="F131" i="19" s="1"/>
  <c r="F88" i="21"/>
  <c r="F131" i="21" s="1"/>
  <c r="F75" i="20"/>
  <c r="F86" i="20"/>
  <c r="F83" i="20"/>
  <c r="F85" i="20"/>
  <c r="F82" i="20"/>
  <c r="F52" i="20"/>
  <c r="F51" i="20"/>
  <c r="F54" i="20"/>
  <c r="F55" i="20"/>
  <c r="F84" i="20"/>
  <c r="F57" i="20"/>
  <c r="F58" i="20"/>
  <c r="F53" i="20"/>
  <c r="F87" i="20"/>
  <c r="F56" i="20"/>
  <c r="F59" i="23"/>
  <c r="F76" i="23" s="1"/>
  <c r="F78" i="23" s="1"/>
  <c r="F75" i="22"/>
  <c r="F55" i="22"/>
  <c r="F86" i="22"/>
  <c r="F56" i="22"/>
  <c r="F82" i="22"/>
  <c r="F54" i="22"/>
  <c r="F58" i="22"/>
  <c r="F51" i="22"/>
  <c r="F57" i="22"/>
  <c r="F83" i="22"/>
  <c r="F85" i="22"/>
  <c r="F84" i="22"/>
  <c r="F53" i="22"/>
  <c r="F87" i="22"/>
  <c r="F52" i="22"/>
  <c r="F96" i="26" l="1"/>
  <c r="F88" i="25"/>
  <c r="F131" i="25" s="1"/>
  <c r="F93" i="26"/>
  <c r="F94" i="26"/>
  <c r="F130" i="26"/>
  <c r="F97" i="26"/>
  <c r="F95" i="26"/>
  <c r="F99" i="26" s="1"/>
  <c r="F105" i="26" s="1"/>
  <c r="F107" i="26" s="1"/>
  <c r="F132" i="26" s="1"/>
  <c r="F134" i="26" s="1"/>
  <c r="F120" i="18"/>
  <c r="F122" i="18" s="1"/>
  <c r="F59" i="20"/>
  <c r="F76" i="20" s="1"/>
  <c r="F78" i="20" s="1"/>
  <c r="F130" i="21"/>
  <c r="F93" i="21"/>
  <c r="F97" i="21"/>
  <c r="F95" i="21"/>
  <c r="F98" i="21"/>
  <c r="F94" i="21"/>
  <c r="F96" i="21"/>
  <c r="F88" i="22"/>
  <c r="F131" i="22" s="1"/>
  <c r="F88" i="20"/>
  <c r="F131" i="20" s="1"/>
  <c r="F59" i="24"/>
  <c r="F76" i="24" s="1"/>
  <c r="F130" i="25"/>
  <c r="F95" i="25"/>
  <c r="F98" i="25"/>
  <c r="F97" i="25"/>
  <c r="F93" i="25"/>
  <c r="F96" i="25"/>
  <c r="F94" i="25"/>
  <c r="F88" i="24"/>
  <c r="F131" i="24" s="1"/>
  <c r="F130" i="19"/>
  <c r="F94" i="19"/>
  <c r="F98" i="19"/>
  <c r="F93" i="19"/>
  <c r="F97" i="19"/>
  <c r="F96" i="19"/>
  <c r="F95" i="19"/>
  <c r="F59" i="22"/>
  <c r="F76" i="22" s="1"/>
  <c r="F78" i="22" s="1"/>
  <c r="F130" i="23"/>
  <c r="F94" i="23"/>
  <c r="F98" i="23"/>
  <c r="F95" i="23"/>
  <c r="F93" i="23"/>
  <c r="F97" i="23"/>
  <c r="F96" i="23"/>
  <c r="F78" i="24"/>
  <c r="F123" i="18" l="1"/>
  <c r="F124" i="18"/>
  <c r="F130" i="20"/>
  <c r="F97" i="20"/>
  <c r="F98" i="20"/>
  <c r="F95" i="20"/>
  <c r="F94" i="20"/>
  <c r="F93" i="20"/>
  <c r="F96" i="20"/>
  <c r="F130" i="22"/>
  <c r="F93" i="22"/>
  <c r="F94" i="22"/>
  <c r="F96" i="22"/>
  <c r="F98" i="22"/>
  <c r="F95" i="22"/>
  <c r="F97" i="22"/>
  <c r="F99" i="21"/>
  <c r="F105" i="21" s="1"/>
  <c r="F107" i="21" s="1"/>
  <c r="F132" i="21" s="1"/>
  <c r="F134" i="21" s="1"/>
  <c r="F119" i="26"/>
  <c r="F130" i="24"/>
  <c r="F98" i="24"/>
  <c r="F93" i="24"/>
  <c r="F94" i="24"/>
  <c r="F95" i="24"/>
  <c r="F97" i="24"/>
  <c r="F96" i="24"/>
  <c r="F99" i="23"/>
  <c r="F105" i="23" s="1"/>
  <c r="F107" i="23" s="1"/>
  <c r="F132" i="23" s="1"/>
  <c r="F134" i="23" s="1"/>
  <c r="F99" i="25"/>
  <c r="F105" i="25" s="1"/>
  <c r="F107" i="25" s="1"/>
  <c r="F132" i="25" s="1"/>
  <c r="F134" i="25" s="1"/>
  <c r="F99" i="19"/>
  <c r="F105" i="19" s="1"/>
  <c r="F107" i="19" s="1"/>
  <c r="F132" i="19" s="1"/>
  <c r="F134" i="19" s="1"/>
  <c r="F99" i="22" l="1"/>
  <c r="F105" i="22" s="1"/>
  <c r="F107" i="22" s="1"/>
  <c r="F132" i="22" s="1"/>
  <c r="F125" i="18"/>
  <c r="F135" i="18" s="1"/>
  <c r="F136" i="18" s="1"/>
  <c r="B140" i="18" s="1"/>
  <c r="E140" i="18" s="1"/>
  <c r="F140" i="18" s="1"/>
  <c r="C36" i="27"/>
  <c r="E36" i="27" s="1"/>
  <c r="F119" i="21"/>
  <c r="F119" i="23"/>
  <c r="F120" i="23" s="1"/>
  <c r="F119" i="25"/>
  <c r="F120" i="25" s="1"/>
  <c r="F124" i="25" s="1"/>
  <c r="F99" i="24"/>
  <c r="F105" i="24" s="1"/>
  <c r="F107" i="24" s="1"/>
  <c r="F132" i="24" s="1"/>
  <c r="F134" i="24" s="1"/>
  <c r="F119" i="19"/>
  <c r="F134" i="22"/>
  <c r="F99" i="20"/>
  <c r="F105" i="20" s="1"/>
  <c r="F107" i="20" s="1"/>
  <c r="F132" i="20" s="1"/>
  <c r="F134" i="20" s="1"/>
  <c r="F120" i="26"/>
  <c r="F122" i="26" s="1"/>
  <c r="F123" i="26" l="1"/>
  <c r="F124" i="26"/>
  <c r="F122" i="23"/>
  <c r="F124" i="23"/>
  <c r="F119" i="20"/>
  <c r="F36" i="27"/>
  <c r="F119" i="24"/>
  <c r="F120" i="24" s="1"/>
  <c r="F123" i="24" s="1"/>
  <c r="F119" i="22"/>
  <c r="F122" i="25"/>
  <c r="F120" i="21"/>
  <c r="F124" i="21" s="1"/>
  <c r="F123" i="23"/>
  <c r="F120" i="19"/>
  <c r="F123" i="19" s="1"/>
  <c r="F123" i="25"/>
  <c r="F125" i="25" l="1"/>
  <c r="F135" i="25" s="1"/>
  <c r="F136" i="25" s="1"/>
  <c r="B140" i="25" s="1"/>
  <c r="F125" i="26"/>
  <c r="F135" i="26" s="1"/>
  <c r="F136" i="26" s="1"/>
  <c r="B140" i="26" s="1"/>
  <c r="E140" i="26" s="1"/>
  <c r="F140" i="26" s="1"/>
  <c r="F125" i="23"/>
  <c r="F135" i="23" s="1"/>
  <c r="F136" i="23" s="1"/>
  <c r="B140" i="23" s="1"/>
  <c r="E140" i="23" s="1"/>
  <c r="F140" i="23" s="1"/>
  <c r="F122" i="21"/>
  <c r="F120" i="22"/>
  <c r="F123" i="22" s="1"/>
  <c r="C44" i="27"/>
  <c r="E44" i="27" s="1"/>
  <c r="F44" i="27" s="1"/>
  <c r="E140" i="25"/>
  <c r="F140" i="25" s="1"/>
  <c r="F124" i="19"/>
  <c r="F122" i="19"/>
  <c r="F125" i="19" s="1"/>
  <c r="F135" i="19" s="1"/>
  <c r="F136" i="19" s="1"/>
  <c r="B140" i="19" s="1"/>
  <c r="F124" i="24"/>
  <c r="F122" i="24"/>
  <c r="F120" i="20"/>
  <c r="F123" i="21"/>
  <c r="F125" i="21" s="1"/>
  <c r="F135" i="21" s="1"/>
  <c r="F136" i="21" s="1"/>
  <c r="B140" i="21" s="1"/>
  <c r="C43" i="27"/>
  <c r="E43" i="27" s="1"/>
  <c r="F43" i="27" s="1"/>
  <c r="E144" i="26" l="1"/>
  <c r="F124" i="22"/>
  <c r="F125" i="24"/>
  <c r="F135" i="24" s="1"/>
  <c r="F136" i="24" s="1"/>
  <c r="B140" i="24" s="1"/>
  <c r="C40" i="27" s="1"/>
  <c r="E40" i="27" s="1"/>
  <c r="F40" i="27" s="1"/>
  <c r="F122" i="22"/>
  <c r="E140" i="21"/>
  <c r="F140" i="21" s="1"/>
  <c r="C39" i="27"/>
  <c r="E39" i="27" s="1"/>
  <c r="F39" i="27" s="1"/>
  <c r="F123" i="20"/>
  <c r="F122" i="20"/>
  <c r="F124" i="20"/>
  <c r="E140" i="19"/>
  <c r="F140" i="19" s="1"/>
  <c r="C37" i="27"/>
  <c r="F144" i="26" l="1"/>
  <c r="C41" i="27"/>
  <c r="E41" i="27" s="1"/>
  <c r="F41" i="27" s="1"/>
  <c r="E140" i="24"/>
  <c r="F140" i="24" s="1"/>
  <c r="F125" i="22"/>
  <c r="F135" i="22" s="1"/>
  <c r="F136" i="22" s="1"/>
  <c r="B140" i="22" s="1"/>
  <c r="F125" i="20"/>
  <c r="F135" i="20" s="1"/>
  <c r="F136" i="20" s="1"/>
  <c r="B140" i="20" s="1"/>
  <c r="C38" i="27" s="1"/>
  <c r="E37" i="27"/>
  <c r="E140" i="22" l="1"/>
  <c r="F140" i="22" s="1"/>
  <c r="C42" i="27"/>
  <c r="E42" i="27" s="1"/>
  <c r="F42" i="27" s="1"/>
  <c r="E38" i="27"/>
  <c r="F38" i="27" s="1"/>
  <c r="E140" i="20"/>
  <c r="F140" i="20" s="1"/>
  <c r="F37" i="27"/>
  <c r="E45" i="27"/>
  <c r="F45" i="27" l="1"/>
  <c r="E70" i="27" s="1"/>
  <c r="C70"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D41" authorId="0" shapeId="0" xr:uid="{00000000-0006-0000-1A00-000001000000}">
      <text>
        <r>
          <rPr>
            <sz val="10"/>
            <rFont val="Arial"/>
            <family val="2"/>
          </rPr>
          <t xml:space="preserve">Sob Demanda - 08 diárias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1700-000002000000}">
      <text>
        <r>
          <rPr>
            <sz val="10"/>
            <rFont val="Arial"/>
            <family val="2"/>
          </rPr>
          <t xml:space="preserve">Descrição Sumária:
Previnem situações de risco e executam salvamentos terrestres, aquáticos e em altura,protegendo pessoas e patrimônios de incêndios, explosões, vazamentos, afogamentosou qualquer outra situação de emergência, com o objetivo de salvar e resgatar vidas;prestam primeiros socorros, verificando o estado da vítima para realizar o procedimen to adequado; realizam cursos e campanhas educativas, formando e treinando equipes,brigadas e corpo voluntário de emergência.
Formação e Experiência
Requer-se do bombeiro de segurança do trabalho e do salva-vidas o ensino fundamen tal completo, do bombeiro aeródromo, o ensino médio completo. exige-se curso básicode qualificação de duzentas a quatrocentas horas/aula para todos. os salva-vidas ci vis que atuam na orla marítima costumam receber treinamento dado por salva-vidasda polícia militar. a(s) ocupação(ões) elencada(s) nesta família ocupacional demandaformação profissional para efeitos do cálculo do número de aprendizes a serem contra tados pelos estabelecimentos, nos termos do artigo 429 da consolidação das leis dotrabalho - clt, exceto os casos previstos no art. 10 do decreto 5.598/2005. 
</t>
        </r>
      </text>
    </comment>
    <comment ref="F34" authorId="0" shapeId="0" xr:uid="{00000000-0006-0000-1700-000006000000}">
      <text>
        <r>
          <rPr>
            <sz val="10"/>
            <rFont val="Arial"/>
            <family val="2"/>
          </rPr>
          <t xml:space="preserve">Base de cálculo do salário-base contido na:
- Convenção Coletiva de Trabalho 2024/2025
- Anexo I
- Item 19
Registrada no MTE sob o número: PA000056/2024
Referencial Técnico de Custos – AUDIN/MPU – 4ª Edição
MÓDULO 1 – COMPOSIÇÃO DA REMUNERAÇÃO
Alínea 1.A. - Salário Base
</t>
        </r>
      </text>
    </comment>
    <comment ref="F35" authorId="0" shapeId="0" xr:uid="{00000000-0006-0000-1700-000007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700-000008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700-000009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700-00000A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700-00000B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700-00000C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700-00000D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700-00000E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700-00000F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700-000010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700-000011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700-000012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1700-000003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1700-000013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700-000014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700-000015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700-000016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15 – (6% x Salário-Base)
</t>
        </r>
      </text>
    </comment>
    <comment ref="F65" authorId="0" shapeId="0" xr:uid="{00000000-0006-0000-1700-000017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15
- ((25,50 – (25,50 x 10%)) x 15). Valor diário da alimentação – 10% x 15 dias. 
- Referencial AUDIN, 4ª edição c/c CONVENÇÃO COLETIVA 2025/2026 SEAC/SINELPA - AUXÍLIO ALIMENTAÇÃO - CLÁUSULA DÉCIMA QUINTA - TICKET ALIMENTAÇÃO/ CARTÃO REFEIÇÃO
</t>
        </r>
      </text>
    </comment>
    <comment ref="F67" authorId="0" shapeId="0" xr:uid="{00000000-0006-0000-1700-000018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700-000019000000}">
      <text>
        <r>
          <rPr>
            <sz val="10"/>
            <rFont val="Arial"/>
            <family val="2"/>
          </rPr>
          <t xml:space="preserve">Cláusula 47ª, caput, da CCT 2024/2025. 
</t>
        </r>
      </text>
    </comment>
    <comment ref="F82" authorId="0" shapeId="0" xr:uid="{00000000-0006-0000-1700-00001A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700-00001B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700-00001C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700-000004000000}">
      <text>
        <r>
          <rPr>
            <sz val="10"/>
            <rFont val="Arial"/>
            <family val="2"/>
          </rPr>
          <t xml:space="preserve">[(56,24%) x 94,45% x (7/30) /12] x 100 = 1,03%
</t>
        </r>
      </text>
    </comment>
    <comment ref="F85" authorId="0" shapeId="0" xr:uid="{00000000-0006-0000-1700-00001D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700-00001E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700-00001F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700-000005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700-000020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700-000021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700-000022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700-000023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700-000024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700-000025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700-000026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1700-000027000000}">
      <text>
        <r>
          <rPr>
            <sz val="10"/>
            <rFont val="Arial"/>
            <family val="2"/>
          </rPr>
          <t xml:space="preserve">Memória de Cálculo dos Uniformes:
- Referencial Técnico de Custos – Audin-MPU – 4ª Edição:
- MÓDULO 5 – INSUMOS DIVERSOS:
Caso a Administração exija que os empregados da empresa contratada se apresentem ao local da prestação dos serviços uniformizados, é necessário estimar o custo mensal desse insumo. O custo dos uniformes inclui todos os itens que compõem o uniforme do empregado.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700-000028000000}">
      <text>
        <r>
          <rPr>
            <sz val="10"/>
            <rFont val="Arial"/>
            <family val="2"/>
          </rPr>
          <t xml:space="preserve">Vide subplanilha MB - Material de Bombeiro
</t>
        </r>
      </text>
    </comment>
    <comment ref="F113" authorId="0" shapeId="0" xr:uid="{00000000-0006-0000-1700-000029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Vide subplanilha EPI´s - BC: Equipamento de Proteção Individual de Bombeiro Civil
</t>
        </r>
        <r>
          <rPr>
            <sz val="10"/>
            <rFont val="Arial"/>
            <family val="2"/>
            <charset val="1"/>
          </rPr>
          <t xml:space="preserve">
</t>
        </r>
      </text>
    </comment>
    <comment ref="F114" authorId="0" shapeId="0" xr:uid="{00000000-0006-0000-1700-00002A000000}">
      <text>
        <r>
          <rPr>
            <sz val="10"/>
            <rFont val="Arial"/>
            <family val="2"/>
          </rPr>
          <t xml:space="preserve">Vide subplanilha de Equipamento Individual de Proteção - EPI´s - BC
</t>
        </r>
      </text>
    </comment>
    <comment ref="A117" authorId="0" shapeId="0" xr:uid="{00000000-0006-0000-17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700-00002B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700-00002C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700-00002D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700-00002E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700-00002F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1800-000002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1800-000006000000}">
      <text>
        <r>
          <rPr>
            <sz val="10"/>
            <rFont val="Arial"/>
            <family val="2"/>
          </rPr>
          <t xml:space="preserve">Base de cálculo do salário-base contido na:
- Convenção Coletiva de Trabalho 2025/2026
- Anexo I
- Item 22
Registrada no MTE sob o número: PA000133/2025
Referencial Técnico de Custos – AUDIN/MPU – 4ª Edição
MÓDULO 1 – COMPOSIÇÃO DA REMUNERAÇÃO
Alínea 1.A. - Salário Base
</t>
        </r>
      </text>
    </comment>
    <comment ref="F35" authorId="0" shapeId="0" xr:uid="{00000000-0006-0000-1800-000007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800-000008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800-000009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800-00000A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800-00000B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800-00000C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800-00000D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800-00000E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800-00000F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800-000010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800-000011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800-000012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1800-000003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1800-000013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800-000014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800-000015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800-000016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800-000017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800-000018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800-000019000000}">
      <text>
        <r>
          <rPr>
            <sz val="10"/>
            <rFont val="Arial"/>
            <family val="2"/>
          </rPr>
          <t xml:space="preserve">Cláusula 47ª, caput, da CCT 2024/2025. 
</t>
        </r>
      </text>
    </comment>
    <comment ref="F82" authorId="0" shapeId="0" xr:uid="{00000000-0006-0000-1800-00001A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800-00001B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800-00001C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800-000004000000}">
      <text>
        <r>
          <rPr>
            <sz val="10"/>
            <rFont val="Arial"/>
            <family val="2"/>
          </rPr>
          <t xml:space="preserve">[(56,24%) x 94,45% x (7/30) /12] x 100 = 1,03%
</t>
        </r>
      </text>
    </comment>
    <comment ref="F85" authorId="0" shapeId="0" xr:uid="{00000000-0006-0000-1800-00001D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800-00001E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800-00001F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800-000005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800-000020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800-000021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800-000022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800-000023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800-000024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800-000025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800-000026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1800-000027000000}">
      <text>
        <r>
          <rPr>
            <sz val="10"/>
            <rFont val="Arial"/>
            <family val="2"/>
          </rPr>
          <t xml:space="preserve">Memória de Cálculo dos Uniformes:
- Referencial Técnico de Custos – Audin-MPU – 4ª Edição:
- MÓDULO 5 – INSUMOS DIVERSOS:
Caso a Administração exija que os empregados da empresa contratada se apresentem ao local da prestação dos serviços uniformizados, é necessário estimar o custo mensal desse insumo. O custo dos uniformes inclui todos os itens que compõem o uniforme do empregado.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800-000028000000}">
      <text>
        <r>
          <rPr>
            <sz val="10"/>
            <rFont val="Arial"/>
            <family val="2"/>
          </rPr>
          <t>Apuração da base de cálculo dos Uniformes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subplanilhas MLHCC - Ônus da Contratada + MLPH
Material de Limpeza e Produtos de Higienização de Copa e Cozinha
                                              +
Material de Limpeza e Produtos de Higienização</t>
        </r>
      </text>
    </comment>
    <comment ref="F113" authorId="0" shapeId="0" xr:uid="{00000000-0006-0000-1800-000029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Vide subplanilha EPI´s - BC: Equipamento de Proteção Individual de Bombeiro Civil
</t>
        </r>
        <r>
          <rPr>
            <sz val="10"/>
            <rFont val="Arial"/>
            <family val="2"/>
            <charset val="1"/>
          </rPr>
          <t xml:space="preserve">
</t>
        </r>
      </text>
    </comment>
    <comment ref="F114" authorId="0" shapeId="0" xr:uid="{00000000-0006-0000-1800-00002A000000}">
      <text>
        <r>
          <rPr>
            <sz val="10"/>
            <rFont val="Arial"/>
            <family val="2"/>
          </rPr>
          <t xml:space="preserve">Vide subplanilha de Equipamento Individual de Proteção - EPI´s - LC
</t>
        </r>
      </text>
    </comment>
    <comment ref="A117" authorId="0" shapeId="0" xr:uid="{00000000-0006-0000-18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800-00002B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800-00002C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800-00002D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800-00002E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800-00002F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1900-000003000000}">
      <text>
        <r>
          <rPr>
            <sz val="10"/>
            <rFont val="Arial"/>
            <family val="2"/>
          </rPr>
          <t xml:space="preserve">Descrição Sumária:
Operam sistemas de computadores e microcomputadores, monitorando o desempe nho dos aplicativos, recursos de entrada e saída de dados, recursos de armazenamentode dados, registros de erros, consumo da unidade central de processamento (cpu),recursos de rede e disponibilidade dos aplicativos. asseguram o funcionamento dohardware e do software; garantem a segurança das informações, por meio de có pias de segurança e armazenando-as em local prescrito, verificando acesso lógico deusuário e destruindo informações sigilosas descartadas. atendem clientes e usuários,orientando-os na utilização de hardware e software; inspecionam o ambiente físicopara segurança no trabalho. </t>
        </r>
      </text>
    </comment>
    <comment ref="F34" authorId="0" shapeId="0" xr:uid="{00000000-0006-0000-1900-000007000000}">
      <text>
        <r>
          <rPr>
            <sz val="10"/>
            <rFont val="Arial"/>
            <family val="2"/>
          </rPr>
          <t xml:space="preserve">Base de cálculo do salário-base contido na:
- Convenção Coletiva de Trabalho 2025/2026
- Anexo I
- Item 20
Registrada no MTE sob o número: PA000133/2025
Referencial Técnico de Custos – AUDIN/MPU – 4ª Edição
MÓDULO 1 – COMPOSIÇÃO DA REMUNERAÇÃO
Alínea 1.A. - Salário Base
</t>
        </r>
      </text>
    </comment>
    <comment ref="F35" authorId="0" shapeId="0" xr:uid="{00000000-0006-0000-1900-000008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900-000009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900-00000A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900-00000B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900-00000C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900-00000D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900-00000E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0" authorId="0" shapeId="0" xr:uid="{00000000-0006-0000-1900-00000F000000}">
      <text>
        <r>
          <rPr>
            <sz val="10"/>
            <rFont val="Arial"/>
            <family val="2"/>
          </rPr>
          <t xml:space="preserve"> PORTARIA/MTP Nº 671, DE 8 DE NOVEMBRO DE 2021
https://www.in.gov.br/en/web/dou/-/portaria-359094139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51" authorId="0" shapeId="0" xr:uid="{00000000-0006-0000-1900-000010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900-000011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900-000012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900-000013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900-000014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1900-000004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1900-000015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900-000016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900-000017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900-000018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900-000019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900-00001A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900-00001B000000}">
      <text>
        <r>
          <rPr>
            <sz val="10"/>
            <rFont val="Arial"/>
            <family val="2"/>
          </rPr>
          <t xml:space="preserve">Cláusula 47ª, caput, da CCT 2024/2025. 
</t>
        </r>
      </text>
    </comment>
    <comment ref="F71" authorId="0" shapeId="0" xr:uid="{00000000-0006-0000-1900-00001C000000}">
      <text>
        <r>
          <rPr>
            <sz val="10"/>
            <rFont val="Microsoft YaHei"/>
            <family val="2"/>
          </rPr>
          <t>横山 隆一</t>
        </r>
        <r>
          <rPr>
            <sz val="10"/>
            <rFont val="Arial"/>
            <family val="2"/>
          </rPr>
          <t xml:space="preserve">Lyuity Yokoyama:
</t>
        </r>
      </text>
    </comment>
    <comment ref="A80" authorId="0" shapeId="0" xr:uid="{00000000-0006-0000-1900-000001000000}">
      <text>
        <r>
          <rPr>
            <sz val="10"/>
            <rFont val="Arial"/>
            <family val="2"/>
          </rPr>
          <t xml:space="preserve">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
</t>
        </r>
      </text>
    </comment>
    <comment ref="F82" authorId="0" shapeId="0" xr:uid="{00000000-0006-0000-1900-00001D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900-00001E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900-00001F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900-000005000000}">
      <text>
        <r>
          <rPr>
            <sz val="10"/>
            <rFont val="Arial"/>
            <family val="2"/>
          </rPr>
          <t xml:space="preserve">[(56,24%) x 94,45% x (7/30) /12] x 100 = 1,03%
</t>
        </r>
      </text>
    </comment>
    <comment ref="F85" authorId="0" shapeId="0" xr:uid="{00000000-0006-0000-1900-000020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900-000021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900-000022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900-000006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900-000023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900-000024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900-000025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900-000026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900-000027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900-000028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900-000029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1900-00002A000000}">
      <text>
        <r>
          <rPr>
            <sz val="10"/>
            <rFont val="Arial"/>
            <family val="2"/>
          </rPr>
          <t xml:space="preserve">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900-00002B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FJ - Ferrmanta de Jardineiro
</t>
        </r>
      </text>
    </comment>
    <comment ref="F113" authorId="0" shapeId="0" xr:uid="{00000000-0006-0000-1900-00002C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Vide subplanilha EPI´s - BC: Equipamento de Proteção Individual de Bombeiro Civil
</t>
        </r>
        <r>
          <rPr>
            <sz val="10"/>
            <rFont val="Arial"/>
            <family val="2"/>
            <charset val="1"/>
          </rPr>
          <t xml:space="preserve">
</t>
        </r>
      </text>
    </comment>
    <comment ref="F114" authorId="0" shapeId="0" xr:uid="{00000000-0006-0000-1900-00002D000000}">
      <text>
        <r>
          <rPr>
            <sz val="10"/>
            <rFont val="Arial"/>
            <family val="2"/>
          </rPr>
          <t xml:space="preserve">Vide subplanilha de Equipamento Individual de Proteção - EPI´s - J
</t>
        </r>
      </text>
    </comment>
    <comment ref="A117" authorId="0" shapeId="0" xr:uid="{00000000-0006-0000-1900-000002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900-00002E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900-00002F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900-000030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900-000031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900-000032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44" authorId="0" shapeId="0" xr:uid="{00000000-0006-0000-1900-000033000000}">
      <text>
        <r>
          <rPr>
            <sz val="10"/>
            <rFont val="Arial"/>
            <family val="2"/>
          </rPr>
          <t xml:space="preserve">08 DIÁRIAS MENSAIS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G3" authorId="0" shapeId="0" xr:uid="{00000000-0006-0000-0200-000001000000}">
      <text>
        <r>
          <rPr>
            <sz val="10"/>
            <rFont val="Arial"/>
            <family val="2"/>
          </rPr>
          <t xml:space="preserve">Valor atualizado do posto de bombeiro civil não encontrado na CCT 2025/2026 - SEAC/SINELPA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P7" authorId="0" shapeId="0" xr:uid="{00000000-0006-0000-0D00-000002000000}">
      <text>
        <r>
          <rPr>
            <sz val="10"/>
            <rFont val="Arial"/>
            <family val="2"/>
          </rPr>
          <t xml:space="preserve">Memória de cálculo do valor a ser depreciado, referente ao Carro de Serviço e que comporá o valor do equipamento na planilha de custos e formação de preços:
Referencial Técnico de Custos - 4ª Edição - AUDIN-MPU
MÓDULO 5 – INSUMOS DIVERSOS
Alínea 5.C. - Equipamentos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Manual SIAFI:
Macrofunção: 020330, 
Item 6.
Instrução Normativa RFB nº 1700, de 14 de março de 2017
Art. 124
</t>
        </r>
      </text>
    </comment>
    <comment ref="P17" authorId="0" shapeId="0" xr:uid="{00000000-0006-0000-0D00-000003000000}">
      <text>
        <r>
          <rPr>
            <sz val="10"/>
            <rFont val="Arial"/>
            <family val="2"/>
          </rPr>
          <t xml:space="preserve">Memória de cálculo do valor a ser depreciado, referente ao Carro de Serviço e que comporá o valor do equipamento na planilha de custos e formação de preços:
Referencial Técnico de Custos - 4ª Edição - AUDIN-MPU
MÓDULO 5 – INSUMOS DIVERSOS
Alínea 5.C. - Equipamentos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Manual SIAFI:
Macrofunção: 020330, 
Item 6.
Instrução Normativa RFB nº 1700, de 14 de março de 2017
Art. 124
</t>
        </r>
      </text>
    </comment>
    <comment ref="P28" authorId="0" shapeId="0" xr:uid="{00000000-0006-0000-0D00-000004000000}">
      <text>
        <r>
          <rPr>
            <sz val="10"/>
            <rFont val="Arial"/>
            <family val="2"/>
          </rPr>
          <t xml:space="preserve">Memória de cálculo do valor a ser depreciado, referente ao Carro de Serviço e que comporá o valor do equipamento na planilha de custos e formação de preços:
Referencial Técnico de Custos - 4ª Edição - AUDIN-MPU
MÓDULO 5 – INSUMOS DIVERSOS
Alínea 5.C. - Equipamentos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Manual SIAFI:
Macrofunção: 020330, 
Item 6.
Instrução Normativa RFB nº 1700, de 14 de março de 2017
Art. 124
</t>
        </r>
      </text>
    </comment>
    <comment ref="E47" authorId="0" shapeId="0" xr:uid="{00000000-0006-0000-0D00-000001000000}">
      <text>
        <r>
          <rPr>
            <sz val="10"/>
            <rFont val="Arial"/>
            <family val="2"/>
          </rPr>
          <t xml:space="preserve">O valor médio da ferramenta em epígrafe é resultado da somatória de preços encontrados nos sítios eletrônicos:
- Banco de Preços - IN 65/2021 - Art. 5º, incisos I e II
- Banco de Preços - IN 65/2021 - Art. 5º, inciso III - Domínio Amplo
- Livre pesquisa na rede mundial de computadores (www) - Mercado Livre - com print screen da tela
</t>
        </r>
        <r>
          <rPr>
            <b/>
            <sz val="9"/>
            <color rgb="FF000000"/>
            <rFont val="Segoe UI"/>
            <family val="2"/>
            <charset val="1"/>
          </rPr>
          <t>- Livre pesquisa na rede munidal de computadores (www) - Bombeiro Comercial - com pedido e envio de proposta comercial incluso o valor de frete.
= 728 + 2189 + 2119,55 + 1024,55
= 6.061,10 / 4
= 1.515,275</t>
        </r>
      </text>
    </comment>
    <comment ref="P66" authorId="0" shapeId="0" xr:uid="{00000000-0006-0000-0D00-000005000000}">
      <text>
        <r>
          <rPr>
            <sz val="10"/>
            <rFont val="Arial"/>
            <family val="2"/>
          </rPr>
          <t xml:space="preserve">Memória de cálculo do valor a ser depreciado, referente ao Carro de Serviço e que comporá o valor do equipamento na planilha de custos e formação de preços:
Referencial Técnico de Custos - 4ª Edição - AUDIN-MPU
MÓDULO 5 – INSUMOS DIVERSOS
Alínea 5.C. - Equipamentos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Manual SIAFI:
Macrofunção: 020330, 
Item 6.
Instrução Normativa RFB nº 1700, de 14 de março de 2017
Art. 124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1100-000005000000}">
      <text>
        <r>
          <rPr>
            <sz val="10"/>
            <rFont val="Arial"/>
            <family val="2"/>
          </rPr>
          <t xml:space="preserve">Base de cálculo do salário-base contido na:
- Convenção Coletiva de Trabalho 2025/2026
- Anexo I
- Item 19
Registrada no MTE sob o número: PA000133/2025
Referencial Técnico de Custos – AUDIN/MPU – 4ª Edição
MÓDULO 1 – COMPOSIÇÃO DA REMUNERAÇÃO
Alínea 1.A. - Salário Base
</t>
        </r>
      </text>
    </comment>
    <comment ref="F35" authorId="0" shapeId="0" xr:uid="{00000000-0006-0000-1100-000006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100-000007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100-000008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100-000009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100-00000A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100-00000B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100-00000C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100-00000D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100-00000E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100-00000F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100-000010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100-000011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1100-000002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1100-000012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100-000013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100-000014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100-000015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100-000016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100-000017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100-000018000000}">
      <text>
        <r>
          <rPr>
            <sz val="10"/>
            <rFont val="Arial"/>
            <family val="2"/>
          </rPr>
          <t xml:space="preserve">Cláusula 47ª, caput, da CCT 2024/2025. 
</t>
        </r>
      </text>
    </comment>
    <comment ref="F71" authorId="0" shapeId="0" xr:uid="{00000000-0006-0000-1100-000019000000}">
      <text>
        <r>
          <rPr>
            <sz val="10"/>
            <rFont val="Microsoft YaHei"/>
            <family val="2"/>
          </rPr>
          <t>横山 隆一</t>
        </r>
        <r>
          <rPr>
            <sz val="10"/>
            <rFont val="Arial"/>
            <family val="2"/>
          </rPr>
          <t xml:space="preserve">Lyuity Yokoyama:
</t>
        </r>
      </text>
    </comment>
    <comment ref="F82" authorId="0" shapeId="0" xr:uid="{00000000-0006-0000-1100-00001A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100-00001B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100-00001C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100-000003000000}">
      <text>
        <r>
          <rPr>
            <sz val="10"/>
            <rFont val="Arial"/>
            <family val="2"/>
          </rPr>
          <t xml:space="preserve">[(56,24%) x 94,45% x (7/30) /12] x 100 = 1,03%
</t>
        </r>
      </text>
    </comment>
    <comment ref="F85" authorId="0" shapeId="0" xr:uid="{00000000-0006-0000-1100-00001D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100-00001E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100-00001F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100-000004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100-000020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100-000021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100-000022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100-000023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100-000024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100-000025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100-000026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1100-000027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100-000028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r>
          <rPr>
            <sz val="9"/>
            <color rgb="FF000000"/>
            <rFont val="Segoe UI"/>
            <family val="2"/>
            <charset val="1"/>
          </rPr>
          <t xml:space="preserve">
</t>
        </r>
      </text>
    </comment>
    <comment ref="F113" authorId="0" shapeId="0" xr:uid="{00000000-0006-0000-1100-000029000000}">
      <text>
        <r>
          <rPr>
            <sz val="10"/>
            <rFont val="Arial"/>
            <family val="2"/>
          </rPr>
          <t>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t>
        </r>
      </text>
    </comment>
    <comment ref="A117" authorId="0" shapeId="0" xr:uid="{00000000-0006-0000-11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100-00002A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100-00002B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100-00002C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100-00002D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100-00002E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1200-000004000000}">
      <text>
        <r>
          <rPr>
            <sz val="10"/>
            <rFont val="Arial"/>
            <family val="2"/>
          </rPr>
          <t xml:space="preserve">Base de cálculo do salário-base contido na:
- Convenção Coletiva de Trabalho 2025/2026
- Anexo I
- Item 14
Registrada no MTE sob o número: PA000133/2025
Referencial Técnico de Custos – AUDIN/MPU – 4ª Edição
MÓDULO 1 – COMPOSIÇÃO DA REMUNERAÇÃO
Alínea 1.A. - Salário Base
</t>
        </r>
      </text>
    </comment>
    <comment ref="F35" authorId="0" shapeId="0" xr:uid="{00000000-0006-0000-12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2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2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2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2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2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2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2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2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2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2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2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12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2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2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2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200-000015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2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200-000017000000}">
      <text>
        <r>
          <rPr>
            <sz val="10"/>
            <rFont val="Arial"/>
            <family val="2"/>
          </rPr>
          <t xml:space="preserve">Cláusula 47ª, caput, da CCT 2024/2025. 
</t>
        </r>
      </text>
    </comment>
    <comment ref="F82" authorId="0" shapeId="0" xr:uid="{00000000-0006-0000-12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200-000019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2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200-000002000000}">
      <text>
        <r>
          <rPr>
            <sz val="10"/>
            <rFont val="Arial"/>
            <family val="2"/>
          </rPr>
          <t xml:space="preserve">[(56,24%) x 94,45% x (7/30) /12] x 100 = 1,03%
</t>
        </r>
      </text>
    </comment>
    <comment ref="F85" authorId="0" shapeId="0" xr:uid="{00000000-0006-0000-12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200-00001C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2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2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2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12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9"/>
            <color rgb="FF000000"/>
            <rFont val="Segoe UI"/>
            <family val="2"/>
            <charset val="1"/>
          </rPr>
          <t xml:space="preserve">
</t>
        </r>
      </text>
    </comment>
    <comment ref="F95" authorId="0" shapeId="0" xr:uid="{00000000-0006-0000-12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r>
          <rPr>
            <sz val="9"/>
            <color rgb="FF000000"/>
            <rFont val="Segoe UI"/>
            <family val="2"/>
            <charset val="1"/>
          </rPr>
          <t xml:space="preserve">
</t>
        </r>
      </text>
    </comment>
    <comment ref="F96" authorId="0" shapeId="0" xr:uid="{00000000-0006-0000-12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r>
          <rPr>
            <sz val="9"/>
            <color rgb="FF000000"/>
            <rFont val="Segoe UI"/>
            <family val="2"/>
            <charset val="1"/>
          </rPr>
          <t xml:space="preserve">
</t>
        </r>
      </text>
    </comment>
    <comment ref="F97" authorId="0" shapeId="0" xr:uid="{00000000-0006-0000-12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9"/>
            <color rgb="FF000000"/>
            <rFont val="Segoe UI"/>
            <family val="2"/>
            <charset val="1"/>
          </rPr>
          <t xml:space="preserve">
</t>
        </r>
      </text>
    </comment>
    <comment ref="F98" authorId="0" shapeId="0" xr:uid="{00000000-0006-0000-1200-000023000000}">
      <text>
        <r>
          <rPr>
            <sz val="10"/>
            <rFont val="Arial"/>
            <family val="2"/>
          </rPr>
          <t xml:space="preserve">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
</t>
        </r>
      </text>
    </comment>
    <comment ref="F102" authorId="0" shapeId="0" xr:uid="{00000000-0006-0000-12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12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2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12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text>
    </comment>
    <comment ref="A117" authorId="0" shapeId="0" xr:uid="{00000000-0006-0000-12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200-000028000000}">
      <text>
        <r>
          <rPr>
            <sz val="10"/>
            <rFont val="Arial"/>
            <family val="2"/>
          </rPr>
          <t xml:space="preserve">Base de Cálculo dos Custos Indiretos:
- Referencial Técnico de Custos – Audin-MPU – 4ª Edição:
- MÓDULO 6 – CUSTOS INDIRETOS, TRIBUTOS E LUCRO:
Percentuais
- 4,73% 
- Fórmula: [(Módulo 1 + Módulo 2 + Módulo 3 + Módulo 4 + Módulo 5) x Custos Indiretos %]
</t>
        </r>
      </text>
    </comment>
    <comment ref="F120" authorId="0" shapeId="0" xr:uid="{00000000-0006-0000-1200-000029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200-00002A000000}">
      <text>
        <r>
          <rPr>
            <sz val="10"/>
            <rFont val="Arial"/>
            <family val="2"/>
          </rPr>
          <t xml:space="preserve">-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200-00002B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200-00002C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1300-000004000000}">
      <text>
        <r>
          <rPr>
            <sz val="10"/>
            <rFont val="Arial"/>
            <family val="2"/>
          </rPr>
          <t xml:space="preserve">Base de cálculo do salário-base contido na:
- Convenção Coletiva de Trabalho 2025/2026
- Anexo I
- Item 10
Registrada no MTE sob o número: PA000133/2025
Referencial Técnico de Custos – AUDIN/MPU – 4ª Edição
MÓDULO 1 – COMPOSIÇÃO DA REMUNERAÇÃO
Alínea 1.A. - Salário Base
</t>
        </r>
      </text>
    </comment>
    <comment ref="F35" authorId="0" shapeId="0" xr:uid="{00000000-0006-0000-13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3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3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rPr>
          <t xml:space="preserve">(Salário-Base + Adicional de Periculosidade)
</t>
        </r>
        <r>
          <rPr>
            <b/>
            <sz val="9"/>
            <color rgb="FF000000"/>
            <rFont val="Times New Roman"/>
            <family val="1"/>
          </rPr>
          <t xml:space="preserve">                                                                                  220</t>
        </r>
      </text>
    </comment>
    <comment ref="F38" authorId="0" shapeId="0" xr:uid="{00000000-0006-0000-13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3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3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3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3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3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3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3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3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13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3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3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3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300-000015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3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300-000017000000}">
      <text>
        <r>
          <rPr>
            <sz val="10"/>
            <rFont val="Arial"/>
            <family val="2"/>
          </rPr>
          <t xml:space="preserve">Cláusula 47ª, caput, da CCT 2024/2025. 
</t>
        </r>
      </text>
    </comment>
    <comment ref="F82" authorId="0" shapeId="0" xr:uid="{00000000-0006-0000-13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300-000019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3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300-000002000000}">
      <text>
        <r>
          <rPr>
            <sz val="10"/>
            <rFont val="Arial"/>
            <family val="2"/>
          </rPr>
          <t xml:space="preserve">[(56,24%) x 94,45% x (7/30) /12] x 100 = 1,03%
</t>
        </r>
      </text>
    </comment>
    <comment ref="F85" authorId="0" shapeId="0" xr:uid="{00000000-0006-0000-13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300-00001C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3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3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3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13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text>
    </comment>
    <comment ref="F95" authorId="0" shapeId="0" xr:uid="{00000000-0006-0000-13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3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3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text>
    </comment>
    <comment ref="F98" authorId="0" shapeId="0" xr:uid="{00000000-0006-0000-1300-000023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text>
    </comment>
    <comment ref="F102" authorId="0" shapeId="0" xr:uid="{00000000-0006-0000-13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13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3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13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text>
    </comment>
    <comment ref="A117" authorId="0" shapeId="0" xr:uid="{00000000-0006-0000-13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300-000028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300-000029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300-00002A000000}">
      <text>
        <r>
          <rPr>
            <sz val="10"/>
            <rFont val="Arial"/>
            <family val="2"/>
          </rPr>
          <t xml:space="preserve">-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300-00002B000000}">
      <text>
        <r>
          <rPr>
            <sz val="10"/>
            <rFont val="Arial"/>
            <family val="2"/>
          </rPr>
          <t xml:space="preserve">-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300-00002C000000}">
      <text>
        <r>
          <rPr>
            <sz val="10"/>
            <rFont val="Arial"/>
            <family val="2"/>
          </rPr>
          <t xml:space="preserve">-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1400-000004000000}">
      <text>
        <r>
          <rPr>
            <sz val="10"/>
            <rFont val="Arial"/>
            <family val="2"/>
          </rPr>
          <t xml:space="preserve">Base de cálculo do salário-base contido na:
- Convenção Coletiva de Trabalho 2025/2026
- Anexo I
- Item 04
Registrada no MTE sob o número: PA000133/2025
Referencial Técnico de Custos – AUDIN/MPU – 4ª Edição
MÓDULO 1 – COMPOSIÇÃO DA REMUNERAÇÃO
Alínea 1.A. - Salário Base
</t>
        </r>
      </text>
    </comment>
    <comment ref="F35" authorId="0" shapeId="0" xr:uid="{00000000-0006-0000-14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4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4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4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4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0" authorId="0" shapeId="0" xr:uid="{00000000-0006-0000-1400-00000A000000}">
      <text>
        <r>
          <rPr>
            <sz val="10"/>
            <rFont val="Arial"/>
            <family val="2"/>
          </rPr>
          <t xml:space="preserve">Justificativa para a majoração do salário do(a) colaborador(a)
Estudo Técnico Preliminar: Item 5 - Subitem Justificativas para salário acima do piso da categoria.
PORTARIA-TCU Nº 443, DE 28 DE DEZEMBRO DE 2018, artigo 9º, § 1º, o qual aduz:
Por razões de ordem técnica, devidamente justificadas, os salários poderão ser fixados pela Administração em valores superiores aos fixados em acordos, convenções coletivas de trabalho ou sentença normativa proferida em dissídio coletivo ou em lei.
</t>
        </r>
      </text>
    </comment>
    <comment ref="F46" authorId="0" shapeId="0" xr:uid="{00000000-0006-0000-1400-00000B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r>
          <rPr>
            <sz val="10"/>
            <rFont val="Arial"/>
            <family val="2"/>
            <charset val="1"/>
          </rPr>
          <t xml:space="preserve">
</t>
        </r>
      </text>
    </comment>
    <comment ref="F47" authorId="0" shapeId="0" xr:uid="{00000000-0006-0000-1400-00000C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400-00000D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400-00000E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400-00000F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400-000010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400-000011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1400-000012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400-000013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400-000014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400-000015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400-000016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400-000017000000}">
      <text>
        <r>
          <rPr>
            <sz val="10"/>
            <rFont val="Arial"/>
            <family val="2"/>
          </rPr>
          <t>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t>
        </r>
      </text>
    </comment>
    <comment ref="F69" authorId="0" shapeId="0" xr:uid="{00000000-0006-0000-1400-000018000000}">
      <text>
        <r>
          <rPr>
            <sz val="10"/>
            <rFont val="Arial"/>
            <family val="2"/>
          </rPr>
          <t xml:space="preserve">Cláusula 47ª, caput, da CCT 2024/2025. 
</t>
        </r>
      </text>
    </comment>
    <comment ref="F82" authorId="0" shapeId="0" xr:uid="{00000000-0006-0000-1400-000019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400-00001A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400-00001B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400-000002000000}">
      <text>
        <r>
          <rPr>
            <sz val="10"/>
            <rFont val="Arial"/>
            <family val="2"/>
          </rPr>
          <t xml:space="preserve">[(56,24%) x 94,45% x (7/30) /12] x 100 = 1,03%
</t>
        </r>
      </text>
    </comment>
    <comment ref="F85" authorId="0" shapeId="0" xr:uid="{00000000-0006-0000-1400-00001C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400-00001D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400-00001E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4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400-00001F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400-000020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400-000021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400-000022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400-000023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400-000024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400-000025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1400-000026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400-000027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1400-000028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text>
    </comment>
    <comment ref="A117" authorId="0" shapeId="0" xr:uid="{00000000-0006-0000-14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400-000029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400-00002A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400-00002B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400-00002C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400-00002D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1500-000005000000}">
      <text>
        <r>
          <rPr>
            <sz val="10"/>
            <rFont val="Arial"/>
            <family val="2"/>
          </rPr>
          <t xml:space="preserve">Base de cálculo do salário-base contido na:
- Convenção Coletiva de Trabalho 2025/2026
- Anexo I
- Item 19
Registrada no MTE sob o número: PA000133/2025
Referencial Técnico de Custos – AUDIN/MPU – 4ª Edição
MÓDULO 1 – COMPOSIÇÃO DA REMUNERAÇÃO
Alínea 1.A. - Salário Base
</t>
        </r>
      </text>
    </comment>
    <comment ref="F35" authorId="0" shapeId="0" xr:uid="{00000000-0006-0000-1500-000006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500-000007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500-000008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500-000009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500-00000A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500-00000B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r>
          <rPr>
            <sz val="10"/>
            <rFont val="Arial"/>
            <family val="2"/>
            <charset val="1"/>
          </rPr>
          <t xml:space="preserve">
</t>
        </r>
      </text>
    </comment>
    <comment ref="F47" authorId="0" shapeId="0" xr:uid="{00000000-0006-0000-1500-00000C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500-00000D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500-00000E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500-00000F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500-000010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500-000011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1500-000002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1500-000012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500-000013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500-000014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500-000015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500-000016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500-000017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500-000018000000}">
      <text>
        <r>
          <rPr>
            <sz val="10"/>
            <rFont val="Arial"/>
            <family val="2"/>
          </rPr>
          <t xml:space="preserve">Cláusula 47ª, caput, da CCT 2024/2025. 
</t>
        </r>
      </text>
    </comment>
    <comment ref="F82" authorId="0" shapeId="0" xr:uid="{00000000-0006-0000-1500-000019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500-00001A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500-00001B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500-000003000000}">
      <text>
        <r>
          <rPr>
            <sz val="10"/>
            <rFont val="Arial"/>
            <family val="2"/>
          </rPr>
          <t xml:space="preserve">[(56,24%) x 94,45% x (7/30) /12] x 100 = 1,03%
</t>
        </r>
      </text>
    </comment>
    <comment ref="F85" authorId="0" shapeId="0" xr:uid="{00000000-0006-0000-1500-00001C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500-00001D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500-00001E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500-000004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500-00001F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500-000020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500-000021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500-000022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Submódulo 2.1
- Percentual: 0,02%
</t>
        </r>
      </text>
    </comment>
    <comment ref="F97" authorId="0" shapeId="0" xr:uid="{00000000-0006-0000-1500-000023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500-000024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500-000025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1500-000026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500-000027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1500-000028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text>
    </comment>
    <comment ref="A117" authorId="0" shapeId="0" xr:uid="{00000000-0006-0000-15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500-000029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500-00002A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500-00002B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500-00002C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500-00002D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1600-000004000000}">
      <text>
        <r>
          <rPr>
            <sz val="10"/>
            <rFont val="Arial"/>
            <family val="2"/>
          </rPr>
          <t xml:space="preserve">Base de cálculo do salário-base contido na:
- Convenção Coletiva de Trabalho 2025/20265
- Anexo I
- Item 22
Registrada no MTE sob o número: PA000133/2025
Referencial Técnico de Custos – AUDIN/MPU – 4ª Edição
MÓDULO 1 – COMPOSIÇÃO DA REMUNERAÇÃO
Alínea 1.A. - Salário Base
</t>
        </r>
      </text>
    </comment>
    <comment ref="F35" authorId="0" shapeId="0" xr:uid="{00000000-0006-0000-16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6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6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6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6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6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6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6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6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6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6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6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16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6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6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6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600-000015000000}">
      <text>
        <r>
          <rPr>
            <sz val="10"/>
            <rFont val="Arial"/>
            <family val="2"/>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t>
        </r>
      </text>
    </comment>
    <comment ref="F67" authorId="0" shapeId="0" xr:uid="{00000000-0006-0000-16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600-000017000000}">
      <text>
        <r>
          <rPr>
            <sz val="10"/>
            <rFont val="Arial"/>
            <family val="2"/>
          </rPr>
          <t xml:space="preserve">Cláusula 47ª, caput, da CCT 2024/2025. 
</t>
        </r>
      </text>
    </comment>
    <comment ref="F82" authorId="0" shapeId="0" xr:uid="{00000000-0006-0000-16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600-000019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6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600-000002000000}">
      <text>
        <r>
          <rPr>
            <sz val="10"/>
            <rFont val="Arial"/>
            <family val="2"/>
          </rPr>
          <t xml:space="preserve">[(56,24%) x 94,45% x (7/30) /12] x 100 = 1,03%
</t>
        </r>
      </text>
    </comment>
    <comment ref="F85" authorId="0" shapeId="0" xr:uid="{00000000-0006-0000-16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600-00001C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6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6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6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16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text>
    </comment>
    <comment ref="F95" authorId="0" shapeId="0" xr:uid="{00000000-0006-0000-16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6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6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text>
    </comment>
    <comment ref="F98" authorId="0" shapeId="0" xr:uid="{00000000-0006-0000-1600-000023000000}">
      <text>
        <r>
          <rPr>
            <sz val="10"/>
            <rFont val="Arial"/>
            <family val="2"/>
          </rPr>
          <t xml:space="preserve">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
</t>
        </r>
      </text>
    </comment>
    <comment ref="F102" authorId="0" shapeId="0" xr:uid="{00000000-0006-0000-16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16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6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16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text>
    </comment>
    <comment ref="F114" authorId="0" shapeId="0" xr:uid="{00000000-0006-0000-1600-000028000000}">
      <text>
        <r>
          <rPr>
            <sz val="10"/>
            <rFont val="Arial"/>
            <family val="2"/>
          </rPr>
          <t xml:space="preserve">Vide subplanilha Equipamento de Proteção Individual de Limpeza e Conservação - 
</t>
        </r>
      </text>
    </comment>
    <comment ref="A117" authorId="0" shapeId="0" xr:uid="{00000000-0006-0000-16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600-000029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600-00002A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600-00002B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600-00002C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600-00002D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sharedStrings.xml><?xml version="1.0" encoding="utf-8"?>
<sst xmlns="http://schemas.openxmlformats.org/spreadsheetml/2006/main" count="3270" uniqueCount="765">
  <si>
    <t>NOMENCLATURA DAS PLANILHAS</t>
  </si>
  <si>
    <t>Item</t>
  </si>
  <si>
    <t>Sigla</t>
  </si>
  <si>
    <t>Nome</t>
  </si>
  <si>
    <t>NP</t>
  </si>
  <si>
    <t>Nomenclatura das Planilhas</t>
  </si>
  <si>
    <t>PC</t>
  </si>
  <si>
    <t>Postos a Serem contratados</t>
  </si>
  <si>
    <t>Salários.VA.VT.QteDias.LDI.T</t>
  </si>
  <si>
    <t>Referências de salários - Conforme CCTs + Vale-Alimentação + Vale-Transporte + Quantidade de Dias de VA e VT + LDI + Tributos</t>
  </si>
  <si>
    <t>Gás</t>
  </si>
  <si>
    <t>Aquisição de Recargas de Gás Liquefeito de Petróleo</t>
  </si>
  <si>
    <t>GA</t>
  </si>
  <si>
    <t>Gêneros de Alimentação</t>
  </si>
  <si>
    <t>MLHCC - Ônus da Contratada</t>
  </si>
  <si>
    <t>Material de Limpeza e Produtos de Higienização da Copa e Cozinha</t>
  </si>
  <si>
    <t>MCC - Sob Demanda</t>
  </si>
  <si>
    <t>Material de Copa e Cozinha</t>
  </si>
  <si>
    <t>MLPH</t>
  </si>
  <si>
    <t>Material de Limpeza e Produtos de Higienização</t>
  </si>
  <si>
    <t>Unif</t>
  </si>
  <si>
    <t>Uniformes</t>
  </si>
  <si>
    <t>FJ</t>
  </si>
  <si>
    <t>Ferramentas de Jardineiro</t>
  </si>
  <si>
    <t>IOJ</t>
  </si>
  <si>
    <t>Insumos Orgânicos Para Jardineiro(a)</t>
  </si>
  <si>
    <t>MIJ</t>
  </si>
  <si>
    <t>Materiai Inorgânico Para Jardineiro(a)</t>
  </si>
  <si>
    <t>MB</t>
  </si>
  <si>
    <t>Material de Bombeiro Civil</t>
  </si>
  <si>
    <t>MP</t>
  </si>
  <si>
    <t>Material Permanente</t>
  </si>
  <si>
    <t>EPIs – LC</t>
  </si>
  <si>
    <t>EPIs - Limpeza e Conservação</t>
  </si>
  <si>
    <t>MJ</t>
  </si>
  <si>
    <t>Materiais – Jardineiro(a)</t>
  </si>
  <si>
    <t>EPIs – J</t>
  </si>
  <si>
    <t>EPIs – Jardineiro(a)</t>
  </si>
  <si>
    <t>AAI</t>
  </si>
  <si>
    <t>Auxiliar Administrativo I</t>
  </si>
  <si>
    <t>AAII</t>
  </si>
  <si>
    <t>Auxiliar Administrativo II</t>
  </si>
  <si>
    <t>AAIII</t>
  </si>
  <si>
    <t>Auxiliar Administrativo III</t>
  </si>
  <si>
    <t>SENS</t>
  </si>
  <si>
    <t>Secretariado Executivo Nível Superior</t>
  </si>
  <si>
    <t>BCD</t>
  </si>
  <si>
    <t>Bombeiro Civil Diurno</t>
  </si>
  <si>
    <t>Cop</t>
  </si>
  <si>
    <t>Copeiro(a)</t>
  </si>
  <si>
    <t>Jard</t>
  </si>
  <si>
    <t>Jardineiro(a)</t>
  </si>
  <si>
    <t>Rec</t>
  </si>
  <si>
    <t>Recepcionista</t>
  </si>
  <si>
    <t>SL</t>
  </si>
  <si>
    <t>Servente de Limpeza</t>
  </si>
  <si>
    <t>POSTOS</t>
  </si>
  <si>
    <t>Auxiliar de Informática</t>
  </si>
  <si>
    <t>Bombeiro(a) Civil</t>
  </si>
  <si>
    <t>Garçom/Garçonete</t>
  </si>
  <si>
    <t>Líder de equipe ou Supervisor</t>
  </si>
  <si>
    <t>Limpeza e Conservação</t>
  </si>
  <si>
    <t>Marinheiro</t>
  </si>
  <si>
    <t>Operador de áudio e vídeo</t>
  </si>
  <si>
    <t>Piloto de Embarcações</t>
  </si>
  <si>
    <t>Produtor de eventos</t>
  </si>
  <si>
    <t>Social Mídia</t>
  </si>
  <si>
    <t>CONVENÇÃO COLETIVA / SALÁRIO NORMATIVO VIGENTE PARA CONTRATAÇÃO E/OU REPACTUAÇÃO DE PREÇOS</t>
  </si>
  <si>
    <t>Postos</t>
  </si>
  <si>
    <t>Convenção Coletiva</t>
  </si>
  <si>
    <t>2024/2025</t>
  </si>
  <si>
    <t>2025/2026</t>
  </si>
  <si>
    <t>2026/2027</t>
  </si>
  <si>
    <t>2027/2028</t>
  </si>
  <si>
    <t>2028/2029</t>
  </si>
  <si>
    <t>2029/2030</t>
  </si>
  <si>
    <t>2030/2031</t>
  </si>
  <si>
    <t>2031/2032</t>
  </si>
  <si>
    <t>2032/2033</t>
  </si>
  <si>
    <t>2033/2034</t>
  </si>
  <si>
    <t>PERÍODO</t>
  </si>
  <si>
    <t>VALE-ALIMENTAÇÃO - BOMBEIRO CIVIL</t>
  </si>
  <si>
    <t>VALE-ALIMENTAÇÃO</t>
  </si>
  <si>
    <t>VALE-TRANSPORTE</t>
  </si>
  <si>
    <t>Contratação</t>
  </si>
  <si>
    <t>Alteração</t>
  </si>
  <si>
    <t>QUANTIDADE DE DIAS - BOMBEIRO CIVIL</t>
  </si>
  <si>
    <t>QUANTIDADE DE DIAS - EXCETO BOMBEIRO CIVIL</t>
  </si>
  <si>
    <t>Lucro e Despesas Indiretas - LDI</t>
  </si>
  <si>
    <t>Custos Indiretos</t>
  </si>
  <si>
    <t xml:space="preserve">Lucro </t>
  </si>
  <si>
    <t>Total</t>
  </si>
  <si>
    <t>Tributação Sobre Faturamento - T - Lucro Presumido</t>
  </si>
  <si>
    <t>PIS</t>
  </si>
  <si>
    <t>COFIN</t>
  </si>
  <si>
    <t>ISS</t>
  </si>
  <si>
    <t>GÁS E OUTROS MATERIAIS ENGARRAFADOS – 3.3.90.30.04</t>
  </si>
  <si>
    <t>Insumo</t>
  </si>
  <si>
    <t>Unidade de Media</t>
  </si>
  <si>
    <t>Quantidade Mensal</t>
  </si>
  <si>
    <t>Quantidade Anual</t>
  </si>
  <si>
    <t>Valor Nominal por unidade</t>
  </si>
  <si>
    <t>LDI</t>
  </si>
  <si>
    <t>T</t>
  </si>
  <si>
    <t>Valor Máximo  Aceito por Unidade</t>
  </si>
  <si>
    <t>Valor Mensal</t>
  </si>
  <si>
    <t>Valor Anual</t>
  </si>
  <si>
    <t>Recarga de Gás Liquefeito de Petróleo</t>
  </si>
  <si>
    <t>Botijão P13</t>
  </si>
  <si>
    <t>GÊNEROS ALIMENTÍCIOS – 3.3.90.30.07</t>
  </si>
  <si>
    <t>Unidade de Medida</t>
  </si>
  <si>
    <t>Valor Total Mensal</t>
  </si>
  <si>
    <t>Valor Total Anual</t>
  </si>
  <si>
    <t xml:space="preserve">Açúcar Cristal </t>
  </si>
  <si>
    <t>Pacote - 01 kg</t>
  </si>
  <si>
    <t>Adoçante dietético -</t>
  </si>
  <si>
    <t>Frasco - 100 ml</t>
  </si>
  <si>
    <t xml:space="preserve">Água - Recarga de água </t>
  </si>
  <si>
    <t>Garrafa - 20 litros</t>
  </si>
  <si>
    <t>Café em Pó - Torrado e Moído</t>
  </si>
  <si>
    <t>Pacote - 250 g</t>
  </si>
  <si>
    <t>Chá - Diversos Sabores</t>
  </si>
  <si>
    <t>Pacote - 10 sachês</t>
  </si>
  <si>
    <t>Leite em pó</t>
  </si>
  <si>
    <t>Pacote - 200 gramas</t>
  </si>
  <si>
    <t>TOTAL</t>
  </si>
  <si>
    <t>MATERIAL DE COPA E COZINHA – 3.3.90.30.21 – SOB DEMANDA</t>
  </si>
  <si>
    <t>Objeto</t>
  </si>
  <si>
    <t>Valor Unitário</t>
  </si>
  <si>
    <t>Não se Aplica</t>
  </si>
  <si>
    <t>Detergente Desengordurante Multiuso</t>
  </si>
  <si>
    <t>Frasco de 500 ml</t>
  </si>
  <si>
    <t>Detergente Líquido para Lavar Louças</t>
  </si>
  <si>
    <t>Esponja para limpeza/lavar louças</t>
  </si>
  <si>
    <t>Unidade</t>
  </si>
  <si>
    <t>Limpa alumínio</t>
  </si>
  <si>
    <t>Palha/lã de aço</t>
  </si>
  <si>
    <t>Pacote com 08 unidades</t>
  </si>
  <si>
    <t>Pano de chão</t>
  </si>
  <si>
    <t>Pano de prato</t>
  </si>
  <si>
    <t>Saco para Acondicionamento de Lixo – 30 litros</t>
  </si>
  <si>
    <t xml:space="preserve"> Pacote com 10 sacos</t>
  </si>
  <si>
    <t xml:space="preserve">Saco para Acondicionamento de Lixo – 100 litros </t>
  </si>
  <si>
    <t xml:space="preserve">Papel para Cozinha </t>
  </si>
  <si>
    <t>Pacote com 02 rolos</t>
  </si>
  <si>
    <t>Papel toalha</t>
  </si>
  <si>
    <t xml:space="preserve"> Fardo de 1000 folhas divido em pacote de 250 folhas</t>
  </si>
  <si>
    <t>Sabão em pó</t>
  </si>
  <si>
    <t xml:space="preserve"> Pacote de 500 gramas</t>
  </si>
  <si>
    <t>Valor Mensal Aproximado</t>
  </si>
  <si>
    <t>Valor Total Mensal - Rateio por por 05 Postos de Serventes de Limpeza e Conservação</t>
  </si>
  <si>
    <t>Valor Total Estimado Anual</t>
  </si>
  <si>
    <t>Açucareiro com Colher - Inox</t>
  </si>
  <si>
    <t>Adaptador Para Garrafa Térmica (Funil Plástico)</t>
  </si>
  <si>
    <t>x</t>
  </si>
  <si>
    <t>Bandeja em Aço Inox (30 cm) - Inox</t>
  </si>
  <si>
    <t>Bandeja em Aço Inox (40 cm) - Inox</t>
  </si>
  <si>
    <t xml:space="preserve">Bandeja de Plástico </t>
  </si>
  <si>
    <t>Capa para Galão/Garrfa de 20 Litros</t>
  </si>
  <si>
    <t>Coador de Pano - Café - Tamanho GG</t>
  </si>
  <si>
    <t>Colher Bailarina - Inox</t>
  </si>
  <si>
    <t>Colher de Arroz - Inox</t>
  </si>
  <si>
    <t>Colher de Chá - Inox</t>
  </si>
  <si>
    <t>Colher de Mesa - Para Refeição - Inox</t>
  </si>
  <si>
    <t>Colher de Silicone - Cabo Longo</t>
  </si>
  <si>
    <t>Colher de Sobremesa - Inox</t>
  </si>
  <si>
    <t xml:space="preserve">Concha de Alumínio </t>
  </si>
  <si>
    <t>Conjunto de Potes Para Mantimentos - Inox</t>
  </si>
  <si>
    <t>Conjunto</t>
  </si>
  <si>
    <t>Copo de Vidro - 300 ml</t>
  </si>
  <si>
    <t xml:space="preserve">Copo Descartável de 50 ml </t>
  </si>
  <si>
    <t>Pacote</t>
  </si>
  <si>
    <t>Copo Descartável - 100 ml</t>
  </si>
  <si>
    <t>Copo Descartável - 180 ml</t>
  </si>
  <si>
    <t>Copo Descartável - 200 ml</t>
  </si>
  <si>
    <t>Descanso Para Copo - Inox</t>
  </si>
  <si>
    <t>Dispensador Compacto Para Papel Toalha</t>
  </si>
  <si>
    <t>Escorredor - Inox</t>
  </si>
  <si>
    <t>Escova Para Limpeza de Garrafas Térmicas</t>
  </si>
  <si>
    <t>Espátula Para Cortar Bolo - Inox</t>
  </si>
  <si>
    <t xml:space="preserve">Frigideira </t>
  </si>
  <si>
    <t>Faca de Mesa - Inox</t>
  </si>
  <si>
    <t xml:space="preserve">Faca Para Cozinha </t>
  </si>
  <si>
    <t>Faca de Sobremesa - Inox</t>
  </si>
  <si>
    <t>Filtro de Papel nº 103</t>
  </si>
  <si>
    <t>Garfo de Mesa - Inox</t>
  </si>
  <si>
    <t xml:space="preserve">Unidade </t>
  </si>
  <si>
    <t>Garfo de Sobremesa - Inox</t>
  </si>
  <si>
    <t>Garrafa Térmica - 1,8 l - Inox</t>
  </si>
  <si>
    <t>Garrafa Térmica - 2,5 l - Inox</t>
  </si>
  <si>
    <t xml:space="preserve">Garrafa Térmica - 10 litros </t>
  </si>
  <si>
    <t>Guardanapo de Papel</t>
  </si>
  <si>
    <t xml:space="preserve">Guardanapo de Tecido </t>
  </si>
  <si>
    <t xml:space="preserve">Isqueiro </t>
  </si>
  <si>
    <t xml:space="preserve">Jarra de Plástico de 02 litros </t>
  </si>
  <si>
    <t>Jarra Para Água - Com Tampa - Inox</t>
  </si>
  <si>
    <t>Jogo Americano</t>
  </si>
  <si>
    <t>Jogo</t>
  </si>
  <si>
    <t xml:space="preserve">Leiteira / Canecão de Alumínio </t>
  </si>
  <si>
    <t>Porta Sabão/Detergente Líquido/Esponja</t>
  </si>
  <si>
    <t xml:space="preserve">Panela Caçarola nº 30 </t>
  </si>
  <si>
    <t>Prato de Jantar - Louça - 28 cm</t>
  </si>
  <si>
    <t>Prato Descatável - 21 cm</t>
  </si>
  <si>
    <t>Prato Para Sobremesa - Louça - 19 cm</t>
  </si>
  <si>
    <t xml:space="preserve">Pano para Limpeza de Prato (Algodão) </t>
  </si>
  <si>
    <t>Rodo de Limpeza de Pia</t>
  </si>
  <si>
    <t>Suporte Para Filtro de Coador de Café nº 103</t>
  </si>
  <si>
    <t>Suporte Para Talheres - Inox</t>
  </si>
  <si>
    <t>Taça - Vidro - 250 ml</t>
  </si>
  <si>
    <t>Tábua de Madeira Para Cozinha </t>
  </si>
  <si>
    <t>Talher Descatável - Kit - (Colher, Garfo e Faca - Pacote com 10 unidades )</t>
  </si>
  <si>
    <t>Toalha de Bandeja</t>
  </si>
  <si>
    <t xml:space="preserve">Tapete de Porta de Entrada </t>
  </si>
  <si>
    <t>Xícara com Pires Para Café - 50 ml - Louça</t>
  </si>
  <si>
    <t>Xícara com Pires Para Café - 100 ml - Porcelana</t>
  </si>
  <si>
    <t>Xícara com Pires Para Café - 200 ml - Porcelana</t>
  </si>
  <si>
    <t>MATERIAL DE LIMPEZA E PRODUTOS DE HIGINIZAÇÃO – 3.3.90.30.22 – ÔNUSA DA CONTRATADA</t>
  </si>
  <si>
    <t>Água sanitária</t>
  </si>
  <si>
    <t>Galão de 05 litros</t>
  </si>
  <si>
    <t>Álcool comum 70%</t>
  </si>
  <si>
    <t>Frasco de 01 litro</t>
  </si>
  <si>
    <t>Álcool em gel 70%</t>
  </si>
  <si>
    <t>Álcool líquido isopropílico</t>
  </si>
  <si>
    <t>Anti mofo</t>
  </si>
  <si>
    <t xml:space="preserve">Frasco com 400 ml </t>
  </si>
  <si>
    <t>Balde de plástico</t>
  </si>
  <si>
    <t>Balde para MOP úmido</t>
  </si>
  <si>
    <t>Cabo para MOP /vassoura em alumínio reforçado</t>
  </si>
  <si>
    <t>Capturador de odores</t>
  </si>
  <si>
    <t>Revitalizador de Plástico</t>
  </si>
  <si>
    <t>Cesto organizador com tampa</t>
  </si>
  <si>
    <t>Corda de nylon</t>
  </si>
  <si>
    <t>Pacote com uma corda de 10 m</t>
  </si>
  <si>
    <t>Desentupidor de pia sanfonado em borracha</t>
  </si>
  <si>
    <t>Desentupidor de vaso sanitário</t>
  </si>
  <si>
    <t>Desinfetante líquido para banheiro</t>
  </si>
  <si>
    <t>Desodorizador de ar – aerossol – ambiente</t>
  </si>
  <si>
    <t>Dispensador compacto para papel toalha</t>
  </si>
  <si>
    <t>Dispensador compacto para sabonete líquido / álcool em gel para mãos</t>
  </si>
  <si>
    <t>Dispenser para copos descartáveis</t>
  </si>
  <si>
    <t>Escova Espanadeira</t>
  </si>
  <si>
    <t>Escova manual</t>
  </si>
  <si>
    <t>Escova multiuso</t>
  </si>
  <si>
    <t>Escova para limpeza de cantos</t>
  </si>
  <si>
    <t>Escova para limpeza de vasos sanitários – com suporte</t>
  </si>
  <si>
    <t>Esponja de limpeza dupla face</t>
  </si>
  <si>
    <t>Extensão elétrica – 10 m</t>
  </si>
  <si>
    <t>Extensão elétrica – 20 m</t>
  </si>
  <si>
    <t>Fibra para limpeza pesada</t>
  </si>
  <si>
    <t xml:space="preserve"> Flanela</t>
  </si>
  <si>
    <t>Impermeabilizante auto brilhante</t>
  </si>
  <si>
    <t>Inseticida aerossol</t>
  </si>
  <si>
    <t>Kit rodo combinado para limpeza de vidros</t>
  </si>
  <si>
    <t>Limpa metais</t>
  </si>
  <si>
    <t>Limpa vidro</t>
  </si>
  <si>
    <t>Limpador ácido para pisos cerâmicos</t>
  </si>
  <si>
    <t>Limpador bactericida para limpeza de couro, carpete, estofados</t>
  </si>
  <si>
    <t>Limpador multiuso</t>
  </si>
  <si>
    <t>Limpador saponáceo</t>
  </si>
  <si>
    <t>Lixeira – 100 l</t>
  </si>
  <si>
    <t>Lixeira – 12 l</t>
  </si>
  <si>
    <t>Lixeira – 15 l</t>
  </si>
  <si>
    <t>Lixeira – 50 l</t>
  </si>
  <si>
    <t>Lustra móveis</t>
  </si>
  <si>
    <t>Luva de látex multiuso</t>
  </si>
  <si>
    <t>Par</t>
  </si>
  <si>
    <t>Luva de látex natural</t>
  </si>
  <si>
    <t>Mangueira para jardim</t>
  </si>
  <si>
    <t>MOP abrasivo</t>
  </si>
  <si>
    <t>MOP água – em algodão</t>
  </si>
  <si>
    <t>MOP articulado flat</t>
  </si>
  <si>
    <t>Naftalina</t>
  </si>
  <si>
    <t>Pacote de 01 kg</t>
  </si>
  <si>
    <t>Óleo protetivo para inox</t>
  </si>
  <si>
    <t>Litro</t>
  </si>
  <si>
    <t>Pá coletora de lixo</t>
  </si>
  <si>
    <t>Pano multiuso</t>
  </si>
  <si>
    <t>Pano para limpeza de chão</t>
  </si>
  <si>
    <t>Papel higiênico - rolo - 300 metros</t>
  </si>
  <si>
    <t>Fardo com 12 unidades</t>
  </si>
  <si>
    <t>Papel higiênico</t>
  </si>
  <si>
    <t>Papel toalha interfoliado</t>
  </si>
  <si>
    <t>Fardo</t>
  </si>
  <si>
    <t>Pastilha adesiva sanitária</t>
  </si>
  <si>
    <t>Caixa com 03 unidades</t>
  </si>
  <si>
    <t>Pedra sanitária / desodorizador sanitário</t>
  </si>
  <si>
    <t>Unidade de 25 gramas</t>
  </si>
  <si>
    <t>Placa Sinalizadora de Chão - Banheiro em Manutenção</t>
  </si>
  <si>
    <t>Placa sinalizadora de chão – piso molhado</t>
  </si>
  <si>
    <t>Protetor de vaso sanitário descartável</t>
  </si>
  <si>
    <t>Dispenser com 50 unidades</t>
  </si>
  <si>
    <t>Pulverizador/borrifador plástico</t>
  </si>
  <si>
    <t>Refil MOP abrasivo</t>
  </si>
  <si>
    <t>Refil MOP água – em algodão</t>
  </si>
  <si>
    <t>Refil MOP articulado flat</t>
  </si>
  <si>
    <t>Refil MOP giratório</t>
  </si>
  <si>
    <t>Rodo para piso</t>
  </si>
  <si>
    <t>Pacote de 500 g</t>
  </si>
  <si>
    <t>Sabão geleia</t>
  </si>
  <si>
    <t>Sabão neutro - em barra</t>
  </si>
  <si>
    <t>Barra Unitária</t>
  </si>
  <si>
    <t>Sabonete líquido – espuma</t>
  </si>
  <si>
    <t>Saco para acondicionamento de lixo - 030 litros</t>
  </si>
  <si>
    <t>Pacote com 10 unidades</t>
  </si>
  <si>
    <t>Saco para acondicionamento de lixo - 050 litros</t>
  </si>
  <si>
    <t>Saco para acondicionamento de lixo - 100 litros</t>
  </si>
  <si>
    <t>Suporte para vassouras</t>
  </si>
  <si>
    <t>Touca higiênica descartável</t>
  </si>
  <si>
    <t>Caixa com 50 unidades</t>
  </si>
  <si>
    <t>Vaselina líquida</t>
  </si>
  <si>
    <t>Garrafa</t>
  </si>
  <si>
    <t>Vassoura de nylon</t>
  </si>
  <si>
    <t>Vassoura de pelo</t>
  </si>
  <si>
    <t>Vassoura grande</t>
  </si>
  <si>
    <t>Vassoura limpa teto</t>
  </si>
  <si>
    <t>Vassoura multiuso</t>
  </si>
  <si>
    <t>Vassoura piaçava</t>
  </si>
  <si>
    <t>Valor Mensal Aproximado Para 05 Pessoas</t>
  </si>
  <si>
    <t>UNIFORMES, TECIDOS E AVIAMENTOS – 3.3.90.30.23</t>
  </si>
  <si>
    <t>Auxiliar Administrativo I - Masculino</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</si>
  <si>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</si>
  <si>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</si>
  <si>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</si>
  <si>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</si>
  <si>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</si>
  <si>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</si>
  <si>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</si>
  <si>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</si>
  <si>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Calças sociais preta, azul-marinho ou da cor padrão da empresa,confeccionada em tecido algodão, sob medida; </t>
  </si>
  <si>
    <t xml:space="preserve">Camisas social branca ou da cor padrão da empresa, com manga curta, confeccionada com no mínimo 50% em algodão; </t>
  </si>
  <si>
    <t xml:space="preserve">Pares de meias social de algodão ou poliéster, da cor da calça; </t>
  </si>
  <si>
    <t xml:space="preserve">Pares de sapatos social preto de couro natural ou sintético; </t>
  </si>
  <si>
    <t>Cintos social de 01 (uma) face da cor dos sapatos, em couro natural ou sintético;</t>
  </si>
  <si>
    <t>Jaqueta de moletom na cor preta ou azul marinho;</t>
  </si>
  <si>
    <t>Auxiliar Administrativo I - Feminino</t>
  </si>
  <si>
    <t>Blusas sociais feminina branca ou da cor padrão da empresa, confeccionada em tecido algodão e poliester, com mangas curtas, abertura na frente (para vestir ou desvestir) em toda extensão, com 05 (cinco) ou 06 (seis) botões na cor do tecido em casas verticais e 2(dois) pences na frente e atrás, e bainha de overlock em todas as partes desfiantes do tecido;</t>
  </si>
  <si>
    <t>Calças sociais, da mesma cor do preta ou azul, confeccionada em tecido Oxford 100% poliéster, de 1ª qualidade, sob medida, sem prega, com cós, frente com zíper com 12cm, de nylon fino comum, com braguilha, com 01(um) botão no cós para fechamento na cor do tecido e bainha em overlock em todas as partes desfiantes do tecido;</t>
  </si>
  <si>
    <t>Pares de meias soquete (cano médio) social, tecido fino, de cor natural;</t>
  </si>
  <si>
    <t>Pares de sapatos social fechado, modelo scarpin, com salto médio ou baixo, preto, em couro natural ou sintético e solado em micro sola antiderrapante;</t>
  </si>
  <si>
    <t>Jaqueta de moletom na cor da empresa.</t>
  </si>
  <si>
    <t>Auxiliar Administrativo I - Masculino e Feminino</t>
  </si>
  <si>
    <t>Todos</t>
  </si>
  <si>
    <t>Todos os itens acima</t>
  </si>
  <si>
    <t>Auxiliar Administrativo II - Masculino</t>
  </si>
  <si>
    <t>Auxiliar Administrativo II - Feminino</t>
  </si>
  <si>
    <t>Auxiliar Administrativo II - Masculino e Feminino</t>
  </si>
  <si>
    <t>Auxiliar Administrativo III - Masculino</t>
  </si>
  <si>
    <t>Auxiliar Administrativo III - Feminino</t>
  </si>
  <si>
    <t>Auxiliar Administrativo III - Masculino e Feminino</t>
  </si>
  <si>
    <t>Secretariado Executivo Nível Superior - Masculino</t>
  </si>
  <si>
    <t>Secretariado Executivo Nível Superior - Feminino</t>
  </si>
  <si>
    <t>Secretariado Executivo Nível Superior - Masculino e Feminino</t>
  </si>
  <si>
    <t>Copeiro(a) - Unisex</t>
  </si>
  <si>
    <t>Blusas com gola esporte, em gabardine ou brim, com zíper na frente, dois bolsos nas laterais inferiores e emblema da empresa no lado esquerdo superior, cinza-claro ou da cor padrão da empresa</t>
  </si>
  <si>
    <t>Calças comprida com zíper ou saia, de gabardine ou brim, na mesma cor da blusa</t>
  </si>
  <si>
    <t>Camiseta em forma de “T”, em malha fria, com gola sanfonada, de manga curta, com emblema da empresa no lado esquerdo superior, branca ou da cor padrão da empresa</t>
  </si>
  <si>
    <t>Aventais, em Oxford ou tergal, branco, com amarras dos lados</t>
  </si>
  <si>
    <t>Toucas de filó com aba, para uso diário dentro da copa, na cor preta</t>
  </si>
  <si>
    <t>Pares de meias social ¾, em nylon/poliéster, de cor natural</t>
  </si>
  <si>
    <t>Pares de sapatos, tipo mocassim, fechado, com salto até 03 (três) centímetros, ou sapatilha com salto de mesmo tamanho, em couro antiderrapante, na cor preta, em couro natural ou sintético</t>
  </si>
  <si>
    <t>Recepcionista - Masculino</t>
  </si>
  <si>
    <t>Recepcionista - Feminino</t>
  </si>
  <si>
    <t>Recepcionista - Masculino e Feminino</t>
  </si>
  <si>
    <t>Brigadista / Bombeiro Civil - Unisex</t>
  </si>
  <si>
    <t>Farda (Calça e Blusa com Manga Longa) - Tecido RipStop (67% Algodão e 33% Poliéster) - Tamanhos variados - Refletivos nacor amarela/vermelha - Reforço Entre as Pernas e nos Joelhos - 04 bolsosfrontais - Bordado “Bombeiro Civil” na frente e nas costas, identificandoclaramente a função - Cor: Verde Petróleo Acinzentado.</t>
  </si>
  <si>
    <t>Par de coturno Cabedal em couro nobuk hidrofugado, espessura de 2mm, dublado com
tecido de poliéster e colarinho de couro pelica; forração interna de acrílico automotivo, com isolamento térmico em EVA; reforço interno de material termoplástico leve e resistente, no bico e calcanhar; solado de borracha maciço, vulcanizado ao cabedal, resistente à corrente elétrica; vedação resistente à água ou 100% impermeável</t>
  </si>
  <si>
    <t>Cinto confeccionado em poliéster, cor preta, modelo com fivela e ponteira prata</t>
  </si>
  <si>
    <t>Camisetas lisas, confeccionada em malha penteada, 100% algodão, cor branca, mangas
curtas</t>
  </si>
  <si>
    <t>Meião liso, confeccionado em algodão e elastano</t>
  </si>
  <si>
    <t>Serventes de Limpeza e Conservação - Unisex</t>
  </si>
  <si>
    <t>Calças compridas em brim, tecido 100% algodão</t>
  </si>
  <si>
    <t>Camisas de mangas curtas em tecido 100% algodão com emblema da empresa pintado</t>
  </si>
  <si>
    <t>Calçados, ocupacional tipo sapato, confeccionado em EVA na cor preta, com solado de borracha antiderrapante, registrado junto ao CA do Ministério do Trabalho na Classificação SRC (referência: Modelo SOFTWORKS - Ref. BB65 ou equivalente</t>
  </si>
  <si>
    <t>Pares de meias, de 55% a 78% em algodão, tipo meião para proteger a perna de possíveis
assaduras</t>
  </si>
  <si>
    <t>Par de botas emborrachadas, tipo galocha, de PVC, cano curto, cor preta, solado antiderrapante e com uma pequena elevação no calcanhar para melhor conforto</t>
  </si>
  <si>
    <t>Jardineiro - Unisex</t>
  </si>
  <si>
    <t>FERRAMENTAS DE JARDINEIRO – 3.3.90.30 – ENCARGO DA CONTRATADA</t>
  </si>
  <si>
    <t>Alicate</t>
  </si>
  <si>
    <t>Balde de Plástico</t>
  </si>
  <si>
    <t>Enxada</t>
  </si>
  <si>
    <t>Facão</t>
  </si>
  <si>
    <t>Flanela</t>
  </si>
  <si>
    <t>Lima</t>
  </si>
  <si>
    <t>Mangueira</t>
  </si>
  <si>
    <t>Martelo</t>
  </si>
  <si>
    <t>Pá de Jardinagem</t>
  </si>
  <si>
    <t>Picareta</t>
  </si>
  <si>
    <t>Regador</t>
  </si>
  <si>
    <t>Saco para Lixo - 100 litros – Pacote com 10 unidades</t>
  </si>
  <si>
    <t>Sacho</t>
  </si>
  <si>
    <t>Tesoura de Poda para Jardim</t>
  </si>
  <si>
    <t>Tesoura para Jardinagem</t>
  </si>
  <si>
    <t>Vassoura Plástica para Jardim</t>
  </si>
  <si>
    <t>Vassoura Gari</t>
  </si>
  <si>
    <t>INSUMOS ORGÂNICOS PARA JARDINAGEM – 3.3.90.30 – SOB DEMANDA</t>
  </si>
  <si>
    <t xml:space="preserve">Raphis Excelsa - Touceira com 4 a 5 hastes </t>
  </si>
  <si>
    <t xml:space="preserve">Dianella Tasmanica Variegata </t>
  </si>
  <si>
    <t xml:space="preserve">Dracaena Reflexa - Robusta </t>
  </si>
  <si>
    <t xml:space="preserve">Chlorophytum Comosum </t>
  </si>
  <si>
    <t xml:space="preserve">Mussaenda Erythophylla </t>
  </si>
  <si>
    <t xml:space="preserve">Dracaena Trifasciata - Golden Hahnii </t>
  </si>
  <si>
    <t xml:space="preserve">Clusia Fluminensis </t>
  </si>
  <si>
    <t xml:space="preserve">Liriope Spicata - Altura aproximada de 20 cm </t>
  </si>
  <si>
    <t xml:space="preserve">Liriope Muscari Ophiopogon Jaburan </t>
  </si>
  <si>
    <t xml:space="preserve">Agave Geminiflora </t>
  </si>
  <si>
    <t xml:space="preserve">Tradescantia Spathacea </t>
  </si>
  <si>
    <t xml:space="preserve">Dracaena Marginata </t>
  </si>
  <si>
    <t xml:space="preserve">Chamaedorea Elegans </t>
  </si>
  <si>
    <t xml:space="preserve">Asparagus Densiflorus </t>
  </si>
  <si>
    <t xml:space="preserve">Salvia Splendens </t>
  </si>
  <si>
    <t xml:space="preserve">Plumeria Rubra </t>
  </si>
  <si>
    <t xml:space="preserve">Lantana Camara </t>
  </si>
  <si>
    <t xml:space="preserve">Impatiens Walleriana </t>
  </si>
  <si>
    <t xml:space="preserve">Philodendron Martianum </t>
  </si>
  <si>
    <t xml:space="preserve">Podocarpus Macrophyllus </t>
  </si>
  <si>
    <t xml:space="preserve">Liriope Muscari </t>
  </si>
  <si>
    <t xml:space="preserve">Cycas Revoluta </t>
  </si>
  <si>
    <t xml:space="preserve">Heliconia Rostrata </t>
  </si>
  <si>
    <t xml:space="preserve">Canna Indica </t>
  </si>
  <si>
    <t xml:space="preserve">Spathiphyllum Wallisii </t>
  </si>
  <si>
    <t>Codilharem Variegatum</t>
  </si>
  <si>
    <t xml:space="preserve">Valor Aproximado Mensal dos Insumos Inorgânicos </t>
  </si>
  <si>
    <t>MATERIAIS INORGÂNICOS PARA JARDINEIRO – 3.3.90.30 – SOB DEMANDA</t>
  </si>
  <si>
    <t>Areia lavada</t>
  </si>
  <si>
    <t>Adubo químico 20.05.20</t>
  </si>
  <si>
    <t>Adubo químico 04.14.08</t>
  </si>
  <si>
    <t>Calcário dolomítico</t>
  </si>
  <si>
    <t>Isca para formigas</t>
  </si>
  <si>
    <t>Seixos rolados</t>
  </si>
  <si>
    <t>Argila expandida</t>
  </si>
  <si>
    <t>Terra vegetal / Substrato agrícola</t>
  </si>
  <si>
    <t>Inseticida para combate de formigas e cupins</t>
  </si>
  <si>
    <t>Herbicida para combate a ervas daninhas</t>
  </si>
  <si>
    <t>Inseticida para combate de pragas</t>
  </si>
  <si>
    <t>Fungicida para combater fungos no gramado</t>
  </si>
  <si>
    <t>MATERIAL DE BOMBEIRO(A) CIVIL – 3.3.90.30 – ENCARGO DA CONTRATADA</t>
  </si>
  <si>
    <t>Abaixador de Língua em Madeira</t>
  </si>
  <si>
    <t>Ataduras Elásticas</t>
  </si>
  <si>
    <t>Bolsa de Gelo Químico</t>
  </si>
  <si>
    <t>Caixa de Máscara Cirúrgica Tripla - com Elástico</t>
  </si>
  <si>
    <t>Cânula de Guedel</t>
  </si>
  <si>
    <t>Cobertor/manta Isolante Térmico de Emergência - Modelo Emergência</t>
  </si>
  <si>
    <t>Conjunto de Materiais de Primeiros Socorros</t>
  </si>
  <si>
    <t>Lanterna com Pilhas para verificar Dilatação de Pupilas</t>
  </si>
  <si>
    <t>Lanterna Grande Recarregável</t>
  </si>
  <si>
    <t>Lanterna Pequena Recarregável de Uso Individual</t>
  </si>
  <si>
    <t>Máscara Pocket</t>
  </si>
  <si>
    <t>Soro Fisiológico</t>
  </si>
  <si>
    <t>Valor Mensal Aproximado Para 02 Pessoas</t>
  </si>
  <si>
    <t>Valor Mensal Aproximado Para 01 Pessoa</t>
  </si>
  <si>
    <t>MATERIAL PERMANENTE – 4.4.90.52.42 - ENCARGO DA CONTRATADA</t>
  </si>
  <si>
    <t>GARÇONARIA</t>
  </si>
  <si>
    <t>Conforme Instrução Normativa RFB nº 1700, de 14 de março de 2017. Anexo III – Taxas Anuais de Depreciação. (Redação dada pelo(a) Instrução Normativa RFB nº 1881, de 03 de abril de 2019) .</t>
  </si>
  <si>
    <t>Discriminação</t>
  </si>
  <si>
    <t>Quantidade</t>
  </si>
  <si>
    <t>Valor Unitário  Nominal Estimado</t>
  </si>
  <si>
    <t>Valor Total Estimado</t>
  </si>
  <si>
    <t>Quantidade de Funcionários da área</t>
  </si>
  <si>
    <t>Vida Útil do Equipamento em Meses</t>
  </si>
  <si>
    <t>Taxa Anual de Depreciação</t>
  </si>
  <si>
    <t>Percentual do Valor Residual do Equipamento</t>
  </si>
  <si>
    <t>Valor Residual do Equipamento</t>
  </si>
  <si>
    <t>Valor a ser depreciado</t>
  </si>
  <si>
    <t>Valor Total Mensal Depreciado considerando o número de funcionários</t>
  </si>
  <si>
    <t xml:space="preserve"> Carro de serviço </t>
  </si>
  <si>
    <t>Por bem</t>
  </si>
  <si>
    <t>MATERIAL PERMANENTE – 4.4.90.52 - SOB DEMANDA</t>
  </si>
  <si>
    <t>SERVIÇOS DE LIMPEZA E CONSERVAÇÃO</t>
  </si>
  <si>
    <t>Carro Funcional – Com 02 Baldes de 25 litros e Espremedor Super-Resistente Para Pisos em Frios em Geral</t>
  </si>
  <si>
    <t xml:space="preserve">JARDINEIRO(A) </t>
  </si>
  <si>
    <t>Armário de aço</t>
  </si>
  <si>
    <t>Carro de mão</t>
  </si>
  <si>
    <t>BOMBEIRO CIVIL</t>
  </si>
  <si>
    <t>Armário de Aço</t>
  </si>
  <si>
    <t>Bota Para Combate ao Incêndio</t>
  </si>
  <si>
    <t>Cadeira de Rodas</t>
  </si>
  <si>
    <t>Caixa de Ferramentas</t>
  </si>
  <si>
    <t>Capacete de Combate ao Incêndio</t>
  </si>
  <si>
    <t>Capacete de Segurança</t>
  </si>
  <si>
    <t>Cinto Para Trabalho em Altura - Talabarte</t>
  </si>
  <si>
    <t>Colar Cervical</t>
  </si>
  <si>
    <t>Colar Tipo Ked</t>
  </si>
  <si>
    <t>Conjunto Para Arrombamento – Ferramenta Hooligan</t>
  </si>
  <si>
    <t>Corda Trava-Quedas NR18 12mm x 50 m</t>
  </si>
  <si>
    <t>Cotoveleira</t>
  </si>
  <si>
    <t>Equipamento de Proteção Respiratória</t>
  </si>
  <si>
    <t xml:space="preserve">Escada de Alumínio Dobrável – Com 06 Degraus </t>
  </si>
  <si>
    <t>Esfigmomanômetro – Aparelho de Aferir Pressão Arterial</t>
  </si>
  <si>
    <t>Imobilizador de Cabeça</t>
  </si>
  <si>
    <t>Joelheira</t>
  </si>
  <si>
    <t>Luva de Combate ao Incêndio</t>
  </si>
  <si>
    <t xml:space="preserve">Machado/Picareta – Ferramenta Combinada – Pulaski </t>
  </si>
  <si>
    <t>Megafone</t>
  </si>
  <si>
    <t>Mochila Térmica</t>
  </si>
  <si>
    <t>Prancheta Completa em Polipropileno Para Imobilização e Transporte de Acidentado</t>
  </si>
  <si>
    <t>Rádio Bidirecional</t>
  </si>
  <si>
    <t>Reanimador Manual Completo (AMBU) - Adulto</t>
  </si>
  <si>
    <t>Reanimador Manual Completo (AMBU) - Infantil</t>
  </si>
  <si>
    <t>Roupa de Aproximação – Calça e Blusa – Para Combate ao Incêndio</t>
  </si>
  <si>
    <t>Talas Para Imobilização – Tipo EVA</t>
  </si>
  <si>
    <t>Torniquete Tático para APH</t>
  </si>
  <si>
    <t>EQUIPAMENTOS DE PROTEÇÃO E SEGURANÇA DE SERVENTES DE LIMPEZA E CONSERVAÇÃO - ENCARGO DA CONTRATADA</t>
  </si>
  <si>
    <t>Descrição dos Materiais</t>
  </si>
  <si>
    <t>Máscara de Proteção</t>
  </si>
  <si>
    <t>Óculos de Proteção</t>
  </si>
  <si>
    <t>Valor Mensal Aproximado considerando o rateio por 05 pessoas</t>
  </si>
  <si>
    <t>EQUIPAMENTO DE PROTEÇÃO INDIVIDUAL – BOMBEIRO(A) CIVIL – 3.3.90.30.28 – ENCARGO DA CONTRATADA</t>
  </si>
  <si>
    <t>Abafador de Ruído</t>
  </si>
  <si>
    <t>Luvas de Raspa de Couro</t>
  </si>
  <si>
    <t>Máscara Semifaciais de Gases</t>
  </si>
  <si>
    <t>Óculos de Proteção Individual</t>
  </si>
  <si>
    <t>Óculos de Proteção Contra Luminosidade</t>
  </si>
  <si>
    <t>Máscara com Filtro Químico PFF2/95 - Reutilizável</t>
  </si>
  <si>
    <t>Valor Mensal Aproximado Para 04 Pessoas</t>
  </si>
  <si>
    <t>EQUIPAMENTO DE PROTEÇÃO INDIVIDUAL – JARDINEIRO(A) – 3.3.90.30.28</t>
  </si>
  <si>
    <t>Capa Para Proteção Para Chuva</t>
  </si>
  <si>
    <t>Luvas</t>
  </si>
  <si>
    <t>Máscara Semifacial</t>
  </si>
  <si>
    <t>Óculos de Proteção e Segurança</t>
  </si>
  <si>
    <t>Protetor Auricular</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</si>
  <si>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</si>
  <si>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</si>
  <si>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</si>
  <si>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</si>
  <si>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</si>
  <si>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</si>
  <si>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</si>
  <si>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</si>
  <si>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</si>
  <si>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Santarém</t>
  </si>
  <si>
    <t>Ano Acordo, Convenção ou Sentença Normativa em Dissídio Coletivo</t>
  </si>
  <si>
    <r>
      <rPr>
        <b/>
        <sz val="8"/>
        <color rgb="FF000000"/>
        <rFont val="Times New Roman"/>
        <family val="1"/>
        <charset val="1"/>
      </rPr>
      <t xml:space="preserve">CONVENÇÃO COLETIVA DE TRABALHO:  </t>
    </r>
    <r>
      <rPr>
        <b/>
        <sz val="8"/>
        <color rgb="FF00B0F0"/>
        <rFont val="Times New Roman"/>
        <family val="1"/>
        <charset val="1"/>
      </rPr>
      <t>2025/2026</t>
    </r>
  </si>
  <si>
    <r>
      <rPr>
        <b/>
        <sz val="8"/>
        <color rgb="FF000000"/>
        <rFont val="Times New Roman"/>
        <family val="1"/>
        <charset val="1"/>
      </rPr>
      <t xml:space="preserve">NÚMERO DE REGISTRO NO MTE:  </t>
    </r>
    <r>
      <rPr>
        <b/>
        <sz val="8"/>
        <color rgb="FF00B0F0"/>
        <rFont val="Times New Roman"/>
        <family val="1"/>
        <charset val="1"/>
      </rPr>
      <t>PA000133/2025</t>
    </r>
  </si>
  <si>
    <r>
      <rPr>
        <b/>
        <sz val="8"/>
        <color rgb="FF000000"/>
        <rFont val="Times New Roman"/>
        <family val="1"/>
        <charset val="1"/>
      </rPr>
      <t xml:space="preserve">DATA DE REGISTRO NO MTE:  </t>
    </r>
    <r>
      <rPr>
        <b/>
        <sz val="8"/>
        <color rgb="FF00B0F0"/>
        <rFont val="Times New Roman"/>
        <family val="1"/>
        <charset val="1"/>
      </rPr>
      <t>06/03/2025</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</si>
  <si>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</si>
  <si>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</si>
  <si>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</si>
  <si>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</si>
  <si>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</si>
  <si>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</si>
  <si>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</si>
  <si>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</si>
  <si>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Classificação Brasileira de Ocupações (CBO)</t>
  </si>
  <si>
    <t>4110-05 - Auxiliar de escritório</t>
  </si>
  <si>
    <t>Salário Normativo da Categoria Profissional</t>
  </si>
  <si>
    <t>Categoria Profissional (vinculada à execução contratual)</t>
  </si>
  <si>
    <t>Asseio, Conservação, Trabalho temporário e Serviços Terceirizáveis</t>
  </si>
  <si>
    <t>Data-Base da Categoria (dia/mês/ano)</t>
  </si>
  <si>
    <t>1º/01/2025</t>
  </si>
  <si>
    <t>PLANILHA DE CUSTOS E FORMAÇÃO DE PREÇOS</t>
  </si>
  <si>
    <t>1 – DA COMPOSIÇÃO DA REMUNERAÇÃO</t>
  </si>
  <si>
    <t>Valor R$</t>
  </si>
  <si>
    <t>A</t>
  </si>
  <si>
    <t>Salário Base</t>
  </si>
  <si>
    <t>B</t>
  </si>
  <si>
    <t>Adicional de periculosidade</t>
  </si>
  <si>
    <t>C</t>
  </si>
  <si>
    <t>Adicional de insalubridade</t>
  </si>
  <si>
    <t>D</t>
  </si>
  <si>
    <t>Adicional noturno</t>
  </si>
  <si>
    <t>E</t>
  </si>
  <si>
    <t>Adicional de hora noturna reduzida</t>
  </si>
  <si>
    <t>F</t>
  </si>
  <si>
    <t>Adicional de Hora Extra no Feriado Trabalhado</t>
  </si>
  <si>
    <t>G</t>
  </si>
  <si>
    <t>Outros (especificar)</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</si>
  <si>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</si>
  <si>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</si>
  <si>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</si>
  <si>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</si>
  <si>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</si>
  <si>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</si>
  <si>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</si>
  <si>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</si>
  <si>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</si>
  <si>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</si>
  <si>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</si>
  <si>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</si>
  <si>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</si>
  <si>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</si>
  <si>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</si>
  <si>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</si>
  <si>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</si>
  <si>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</si>
  <si>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</si>
  <si>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</si>
  <si>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</si>
  <si>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</si>
  <si>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</si>
  <si>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</si>
  <si>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</si>
  <si>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</si>
  <si>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</si>
  <si>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</si>
  <si>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</si>
  <si>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</si>
  <si>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 Assistência funeral/familiar - Assistência Médica e Familiar</t>
  </si>
  <si>
    <t>Auxílio plano de assistência e cuidado pessoal</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</si>
  <si>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</si>
  <si>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</si>
  <si>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</si>
  <si>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</si>
  <si>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</si>
  <si>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</si>
  <si>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</si>
  <si>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</si>
  <si>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</si>
  <si>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</si>
  <si>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Incidência do FGTS sobre o Aviso Prévio Indenizado</t>
  </si>
  <si>
    <t>Multa do FGTS do Aviso Prévio Indenizado</t>
  </si>
  <si>
    <t>Aviso Prévio Trabalhado</t>
  </si>
  <si>
    <t>Incidência dos encargos do submódulo 2.2 sobre o Aviso Prévio Trabalhado</t>
  </si>
  <si>
    <t>Multa do FGTS do 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</si>
  <si>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</si>
  <si>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</si>
  <si>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</si>
  <si>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</si>
  <si>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</si>
  <si>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</si>
  <si>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</si>
  <si>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</si>
  <si>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</si>
  <si>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</si>
  <si>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</si>
  <si>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</si>
  <si>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</si>
  <si>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</si>
  <si>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</si>
  <si>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</si>
  <si>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</si>
  <si>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</si>
  <si>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</si>
  <si>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</si>
  <si>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</si>
  <si>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</si>
  <si>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</si>
  <si>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</si>
  <si>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 - Depreciação de Material Permanente não reversível ao patrimônio Público</t>
  </si>
  <si>
    <t>Outros - Equipamaento de Proteção e Segurança - EPI</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</si>
  <si>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</si>
  <si>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</si>
  <si>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</si>
  <si>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</si>
  <si>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</si>
  <si>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</si>
  <si>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</si>
  <si>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</si>
  <si>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</si>
  <si>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</si>
  <si>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</si>
  <si>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</si>
  <si>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</si>
  <si>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</si>
  <si>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</si>
  <si>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</si>
  <si>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</si>
  <si>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</si>
  <si>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</si>
  <si>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</si>
  <si>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</si>
  <si>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postos</t>
  </si>
  <si>
    <t>Quantidade de meses</t>
  </si>
  <si>
    <t>Valor total mensal</t>
  </si>
  <si>
    <t>PGEA:  1.23.000.000176/2024-97</t>
  </si>
  <si>
    <t>Incidência dos Encargos do Submódulo 2.2 sobre o Aviso Prévio Trabalhado</t>
  </si>
  <si>
    <t>2523-05 - Secretariado Executivo Nível Superior</t>
  </si>
  <si>
    <t>4221-05 - Recepcionista</t>
  </si>
  <si>
    <t>5134-05 - Copeiro(a)</t>
  </si>
  <si>
    <t xml:space="preserve">Materiais </t>
  </si>
  <si>
    <r>
      <rPr>
        <b/>
        <sz val="8"/>
        <color rgb="FF000000"/>
        <rFont val="Times New Roman"/>
        <family val="1"/>
        <charset val="1"/>
      </rPr>
      <t xml:space="preserve">NÚMERO DE REGISTRO NO MTE:  </t>
    </r>
    <r>
      <rPr>
        <b/>
        <sz val="8"/>
        <color rgb="FF00B0F0"/>
        <rFont val="Times New Roman"/>
        <family val="1"/>
        <charset val="1"/>
      </rPr>
      <t>PA000152/2025</t>
    </r>
  </si>
  <si>
    <r>
      <rPr>
        <b/>
        <sz val="8"/>
        <color rgb="FF000000"/>
        <rFont val="Times New Roman"/>
        <family val="1"/>
        <charset val="1"/>
      </rPr>
      <t xml:space="preserve">DATA DE REGISTRO NO MTE:  </t>
    </r>
    <r>
      <rPr>
        <b/>
        <sz val="8"/>
        <color rgb="FF00B0F0"/>
        <rFont val="Times New Roman"/>
        <family val="1"/>
        <charset val="1"/>
      </rPr>
      <t>11/03/2025</t>
    </r>
  </si>
  <si>
    <t>5171-10 - Bombeiro Civil</t>
  </si>
  <si>
    <t>1º/01/2024</t>
  </si>
  <si>
    <t>Equipamentos -  Depreciação de Material Permanente não reversível ao patrimônio Público</t>
  </si>
  <si>
    <t>Serventes de Limpeza e Conservação</t>
  </si>
  <si>
    <t>5143-20 - Serviços de Limpeza e Conservação</t>
  </si>
  <si>
    <t>6220-10 - Jardineiro(a)</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</si>
  <si>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</si>
  <si>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</si>
  <si>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</si>
  <si>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</si>
  <si>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</si>
  <si>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</si>
  <si>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</si>
  <si>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</si>
  <si>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Valor da Diária</t>
  </si>
  <si>
    <t>Valor Anual Total das Diárias</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</si>
  <si>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</si>
  <si>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</si>
  <si>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</si>
  <si>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</si>
  <si>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 Auxiliar Administrativo II, Auxiliar Administrativo III, Secretariado Executivo Nível Superior, Bombeiro Civil, Copeiro(a), Jardineiro(a),  Recepcionista e Servente de Limpeza,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</si>
  <si>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</si>
  <si>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</si>
  <si>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</si>
  <si>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</si>
  <si>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</si>
  <si>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</si>
  <si>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</si>
  <si>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</si>
  <si>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</si>
  <si>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</si>
  <si>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</si>
  <si>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</si>
  <si>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</si>
  <si>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</si>
  <si>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</si>
  <si>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</si>
  <si>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</si>
  <si>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</si>
  <si>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</si>
  <si>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</si>
  <si>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</si>
  <si>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</si>
  <si>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</si>
  <si>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</si>
  <si>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</si>
  <si>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</si>
  <si>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</si>
  <si>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</si>
  <si>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</si>
  <si>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</si>
  <si>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</si>
  <si>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</si>
  <si>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</si>
  <si>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</si>
  <si>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Residente - Inclusos os Valores dos Materiais de Limpeza e Produtos de Higienização + Uniformes</t>
  </si>
  <si>
    <t>Profissionais Residentes</t>
  </si>
  <si>
    <t>Valor Mensal por Posto</t>
  </si>
  <si>
    <t>Valor Anual por Posto</t>
  </si>
  <si>
    <t>AUXILIAR ADMINISTRATIVO I</t>
  </si>
  <si>
    <t>AUXILIAR ADMINISTRATIVO II</t>
  </si>
  <si>
    <t xml:space="preserve">AUXILIAR ADMINISTRATIVO III </t>
  </si>
  <si>
    <t>SECRETARIADO EXECUTIVO NÍVEL SUPERIOR</t>
  </si>
  <si>
    <t>BOMBEIRO CIVIL DIURNO</t>
  </si>
  <si>
    <t>JARDINEIRO(A)</t>
  </si>
  <si>
    <t>RECEPCIONISTA</t>
  </si>
  <si>
    <t>COPEIRO(A)</t>
  </si>
  <si>
    <t>SERVENTE DE LIMPEZA</t>
  </si>
  <si>
    <t>TOTAL ITEM I</t>
  </si>
  <si>
    <t>II - Do Preço Global dsa Recargas de Gás Liquefeito de Petróleo - Gás de Cozinha - Sob Demanda</t>
  </si>
  <si>
    <t>Recarga de Gás Liquefeito de Petróleo - Botijão P13</t>
  </si>
  <si>
    <t xml:space="preserve">Valor Mensal </t>
  </si>
  <si>
    <t>Valor</t>
  </si>
  <si>
    <t>III - Do Preço Global dos Gêneros de Alimentação - Sob Demanda</t>
  </si>
  <si>
    <t>Gênros Alimentícios: Café, Açúcar, Leite, Adocante e outros</t>
  </si>
  <si>
    <t>IV - Do Preço Global de Materiais de Copa e Cozinha - Sob Demanda</t>
  </si>
  <si>
    <t>Materiais de Copa e Cozinha: Xícara, copo, guardanapo, colher, outros</t>
  </si>
  <si>
    <t>V - Do Preço dos Insumos Inorgânicos de Jardinagem</t>
  </si>
  <si>
    <t>Areia Lavada, Seixo, entre outros</t>
  </si>
  <si>
    <t>VI - Do Preço dos Insumos Orgânicos de Jardinagem</t>
  </si>
  <si>
    <t>Plantas Ornamentais</t>
  </si>
  <si>
    <t>PREÇO TOTAL DA PROPOSTA</t>
  </si>
  <si>
    <t>Valor Total dos Itens I + II + III + IV + V + VI</t>
  </si>
  <si>
    <t>VALOR TOTAL</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</si>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</sst>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 &quot;#,##0.00;[Red]&quot;-R$ &quot;#,##0.00"/>
    <numFmt numFmtId="165" formatCode="&quot;R$ &quot;#,##0.00"/>
    <numFmt numFmtId="166" formatCode="#,##0.00\ ;\-#,##0.00\ "/>
    <numFmt numFmtId="167" formatCode="[$R$-416]\ #,##0.00;[Red]\-[$R$-416]\ #,##0.00"/>
  </numFmts>
  <fonts count="33" x14ac:knownFonts="1">
    <font>
      <sz val="11"/>
      <color theme="1"/>
      <name val="Aptos Narrow"/>
      <family val="2"/>
      <charset val="1"/>
    </font>
    <font>
      <sz val="10"/>
      <name val="Arial"/>
      <family val="2"/>
    </font>
    <font>
      <u/>
      <sz val="11"/>
      <color theme="10"/>
      <name val="Aptos Narrow"/>
      <family val="2"/>
      <charset val="1"/>
    </font>
    <font>
      <b/>
      <sz val="9"/>
      <color theme="1"/>
      <name val="Times New Roman"/>
      <family val="1"/>
      <charset val="1"/>
    </font>
    <font>
      <sz val="9"/>
      <color theme="1"/>
      <name val="Times New Roman"/>
      <family val="1"/>
      <charset val="1"/>
    </font>
    <font>
      <b/>
      <sz val="8"/>
      <color rgb="FF000000"/>
      <name val="Times New Roman"/>
      <family val="1"/>
      <charset val="1"/>
    </font>
    <font>
      <sz val="8"/>
      <color theme="1"/>
      <name val="Aptos Narrow"/>
      <family val="2"/>
      <charset val="1"/>
    </font>
    <font>
      <b/>
      <sz val="9"/>
      <color rgb="FF000000"/>
      <name val="Times New Roman"/>
      <family val="1"/>
      <charset val="1"/>
    </font>
    <font>
      <sz val="9"/>
      <color theme="1"/>
      <name val="Aptos Narrow"/>
      <family val="2"/>
      <charset val="1"/>
    </font>
    <font>
      <sz val="8"/>
      <color rgb="FF000000"/>
      <name val="Times New Roman"/>
      <family val="1"/>
      <charset val="1"/>
    </font>
    <font>
      <sz val="9"/>
      <color rgb="FF000000"/>
      <name val="Segoe UI"/>
      <family val="2"/>
      <charset val="1"/>
    </font>
    <font>
      <sz val="11"/>
      <color theme="1"/>
      <name val="Times New Roman"/>
      <family val="1"/>
      <charset val="1"/>
    </font>
    <font>
      <b/>
      <sz val="8"/>
      <color theme="1"/>
      <name val="Times New Roman"/>
      <family val="1"/>
      <charset val="1"/>
    </font>
    <font>
      <sz val="8"/>
      <color theme="1"/>
      <name val="Times New Roman"/>
      <family val="1"/>
      <charset val="1"/>
    </font>
    <font>
      <sz val="10"/>
      <color theme="1"/>
      <name val="Times New Roman"/>
      <family val="1"/>
      <charset val="1"/>
    </font>
    <font>
      <sz val="10"/>
      <color theme="1"/>
      <name val="Aptos Narrow"/>
      <family val="2"/>
      <charset val="1"/>
    </font>
    <font>
      <b/>
      <i/>
      <sz val="8"/>
      <color theme="1"/>
      <name val="Times New Roman"/>
      <family val="1"/>
      <charset val="1"/>
    </font>
    <font>
      <b/>
      <i/>
      <sz val="8"/>
      <color rgb="FF000000"/>
      <name val="Times New Roman"/>
      <family val="1"/>
      <charset val="1"/>
    </font>
    <font>
      <u/>
      <sz val="8"/>
      <color theme="10"/>
      <name val="Times New Roman"/>
      <family val="1"/>
      <charset val="1"/>
    </font>
    <font>
      <b/>
      <sz val="9"/>
      <color rgb="FF000000"/>
      <name val="Segoe UI"/>
      <family val="2"/>
      <charset val="1"/>
    </font>
    <font>
      <b/>
      <u/>
      <sz val="8"/>
      <color rgb="FF00B0F0"/>
      <name val="Times New Roman"/>
      <family val="1"/>
      <charset val="1"/>
    </font>
    <font>
      <b/>
      <sz val="8"/>
      <color rgb="FF00B0F0"/>
      <name val="Times New Roman"/>
      <family val="1"/>
      <charset val="1"/>
    </font>
    <font>
      <sz val="10"/>
      <name val="Arial"/>
      <family val="2"/>
      <charset val="1"/>
    </font>
    <font>
      <b/>
      <u/>
      <sz val="9"/>
      <color rgb="FF000000"/>
      <name val="Times New Roman"/>
      <family val="1"/>
      <charset val="1"/>
    </font>
    <font>
      <sz val="10"/>
      <name val="Microsoft YaHei"/>
      <family val="2"/>
    </font>
    <font>
      <sz val="9"/>
      <color rgb="FF000000"/>
      <name val="Times New Roman"/>
      <family val="1"/>
      <charset val="1"/>
    </font>
    <font>
      <b/>
      <sz val="11"/>
      <color theme="1"/>
      <name val="Aptos Narrow"/>
      <family val="2"/>
      <charset val="1"/>
    </font>
    <font>
      <b/>
      <u/>
      <sz val="9"/>
      <color rgb="FF000000"/>
      <name val="Times New Roman"/>
      <family val="1"/>
    </font>
    <font>
      <b/>
      <sz val="9"/>
      <color rgb="FF000000"/>
      <name val="Times New Roman"/>
      <family val="1"/>
    </font>
    <font>
      <sz val="10"/>
      <color theme="1"/>
      <name val="Arial"/>
      <family val="2"/>
      <charset val="1"/>
    </font>
    <font>
      <b/>
      <sz val="14"/>
      <name val="Arial"/>
      <family val="2"/>
    </font>
    <font>
      <b/>
      <sz val="10"/>
      <name val="Arial"/>
      <family val="2"/>
    </font>
    <font>
      <b/>
      <sz val="10"/>
      <color rgb="FFFF0000"/>
      <name val="Arial"/>
      <family val="2"/>
    </font>
  </fonts>
  <fills count="20">
    <fill>
      <patternFill patternType="none"/>
    </fill>
    <fill>
      <patternFill patternType="gray125"/>
    </fill>
    <fill>
      <patternFill patternType="solid">
        <fgColor rgb="FF729FCF"/>
        <bgColor rgb="FF969696"/>
      </patternFill>
    </fill>
    <fill>
      <patternFill patternType="solid">
        <fgColor theme="4" tint="0.59987182226020086"/>
        <bgColor rgb="FF729FCF"/>
      </patternFill>
    </fill>
    <fill>
      <patternFill patternType="solid">
        <fgColor theme="0"/>
        <bgColor rgb="FFFEFFDE"/>
      </patternFill>
    </fill>
    <fill>
      <patternFill patternType="solid">
        <fgColor rgb="FFD9D9D9"/>
        <bgColor rgb="FFC1E5F5"/>
      </patternFill>
    </fill>
    <fill>
      <patternFill patternType="solid">
        <fgColor rgb="FFC1E5F5"/>
        <bgColor rgb="FFD9D9D9"/>
      </patternFill>
    </fill>
    <fill>
      <patternFill patternType="solid">
        <fgColor rgb="FFFFFF00"/>
        <bgColor rgb="FFFFFF00"/>
      </patternFill>
    </fill>
    <fill>
      <patternFill patternType="solid">
        <fgColor theme="0" tint="-0.249977111117893"/>
        <bgColor rgb="FFD9D9D9"/>
      </patternFill>
    </fill>
    <fill>
      <patternFill patternType="solid">
        <fgColor rgb="FFFEFFDE"/>
        <bgColor rgb="FFFFFFD7"/>
      </patternFill>
    </fill>
    <fill>
      <patternFill patternType="solid">
        <fgColor theme="5"/>
        <bgColor rgb="FFFF8080"/>
      </patternFill>
    </fill>
    <fill>
      <patternFill patternType="solid">
        <fgColor theme="5" tint="0.59987182226020086"/>
        <bgColor rgb="FFFFDBB6"/>
      </patternFill>
    </fill>
    <fill>
      <patternFill patternType="solid">
        <fgColor rgb="FFEEEEEE"/>
        <bgColor rgb="FFFEFFDE"/>
      </patternFill>
    </fill>
    <fill>
      <patternFill patternType="solid">
        <fgColor rgb="FFFFFFD7"/>
        <bgColor rgb="FFFEFFDE"/>
      </patternFill>
    </fill>
    <fill>
      <patternFill patternType="solid">
        <fgColor rgb="FFFFDBB6"/>
        <bgColor rgb="FFF6C7AD"/>
      </patternFill>
    </fill>
    <fill>
      <patternFill patternType="solid">
        <fgColor theme="4" tint="0.59999389629810485"/>
        <bgColor indexed="64"/>
      </patternFill>
    </fill>
    <fill>
      <patternFill patternType="solid">
        <fgColor rgb="FFFFFF00"/>
        <bgColor indexed="64"/>
      </patternFill>
    </fill>
    <fill>
      <patternFill patternType="solid">
        <fgColor rgb="FFFFFF00"/>
        <bgColor rgb="FFFFFFD7"/>
      </patternFill>
    </fill>
    <fill>
      <patternFill patternType="solid">
        <fgColor rgb="FFFFFF00"/>
        <bgColor rgb="FFFFDBB6"/>
      </patternFill>
    </fill>
    <fill>
      <patternFill patternType="solid">
        <fgColor rgb="FFFFFF00"/>
        <bgColor rgb="FFFEFFDE"/>
      </patternFill>
    </fill>
  </fills>
  <borders count="10">
    <border>
      <left/>
      <right/>
      <top/>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bottom style="double">
        <color auto="1"/>
      </bottom>
      <diagonal/>
    </border>
    <border>
      <left style="double">
        <color auto="1"/>
      </left>
      <right style="double">
        <color auto="1"/>
      </right>
      <top style="double">
        <color auto="1"/>
      </top>
      <bottom/>
      <diagonal/>
    </border>
    <border>
      <left/>
      <right/>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style="double">
        <color rgb="FF0F9ED5"/>
      </left>
      <right style="double">
        <color rgb="FF0F9ED5"/>
      </right>
      <top style="double">
        <color rgb="FF0F9ED5"/>
      </top>
      <bottom style="double">
        <color rgb="FF0F9ED5"/>
      </bottom>
      <diagonal/>
    </border>
    <border>
      <left style="double">
        <color rgb="FF0F9ED5"/>
      </left>
      <right style="double">
        <color rgb="FF0F9ED5"/>
      </right>
      <top/>
      <bottom style="double">
        <color rgb="FF0F9ED5"/>
      </bottom>
      <diagonal/>
    </border>
  </borders>
  <cellStyleXfs count="4">
    <xf numFmtId="0" fontId="0" fillId="0" borderId="0"/>
    <xf numFmtId="0" fontId="2" fillId="0" borderId="0" applyBorder="0" applyProtection="0"/>
    <xf numFmtId="0" fontId="2" fillId="0" borderId="0" applyBorder="0" applyProtection="0"/>
    <xf numFmtId="0" fontId="1" fillId="0" borderId="0"/>
  </cellStyleXfs>
  <cellXfs count="311">
    <xf numFmtId="0" fontId="0" fillId="0" borderId="0" xfId="0"/>
    <xf numFmtId="0" fontId="1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7" fillId="0" borderId="1"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0" fillId="0" borderId="0" xfId="0" applyAlignme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6" fillId="0" borderId="0" xfId="0" applyFont="1" applyAlignment="1">
      <alignment horizontal="center"/>
    </xf>
    <xf numFmtId="164" fontId="7" fillId="0" borderId="1" xfId="0" applyNumberFormat="1" applyFont="1" applyBorder="1" applyAlignment="1">
      <alignment horizontal="center" vertical="center" wrapText="1"/>
    </xf>
    <xf numFmtId="165" fontId="7"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0" fontId="8" fillId="0" borderId="0" xfId="0" applyFont="1" applyAlignment="1">
      <alignment vertical="center"/>
    </xf>
    <xf numFmtId="10" fontId="5" fillId="0" borderId="1" xfId="0" applyNumberFormat="1" applyFont="1" applyBorder="1" applyAlignment="1">
      <alignment horizontal="center" vertical="center" wrapText="1"/>
    </xf>
    <xf numFmtId="10" fontId="5" fillId="6" borderId="1" xfId="0" applyNumberFormat="1" applyFont="1" applyFill="1" applyBorder="1" applyAlignment="1">
      <alignment horizontal="center" vertical="center" wrapText="1"/>
    </xf>
    <xf numFmtId="0" fontId="5" fillId="0" borderId="0" xfId="0" applyFont="1" applyAlignment="1">
      <alignment horizontal="center" vertical="center" wrapText="1"/>
    </xf>
    <xf numFmtId="10" fontId="5" fillId="0" borderId="0" xfId="0" applyNumberFormat="1" applyFont="1" applyAlignment="1">
      <alignment horizontal="center" vertical="center" wrapText="1"/>
    </xf>
    <xf numFmtId="0" fontId="9" fillId="0" borderId="0" xfId="0" applyFont="1" applyAlignment="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2"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4" fillId="0" borderId="0" xfId="0" applyFont="1" applyAlignment="1">
      <alignment vertical="center"/>
    </xf>
    <xf numFmtId="0" fontId="11" fillId="0" borderId="0" xfId="0" applyFont="1"/>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165" fontId="3"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165" fontId="13" fillId="0" borderId="1"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9" fillId="0" borderId="5" xfId="0" applyFont="1" applyBorder="1" applyAlignment="1">
      <alignment vertical="center"/>
    </xf>
    <xf numFmtId="0" fontId="9" fillId="0" borderId="1" xfId="0" applyFont="1" applyBorder="1" applyAlignment="1">
      <alignment vertical="center"/>
    </xf>
    <xf numFmtId="165" fontId="12" fillId="0" borderId="1" xfId="0" applyNumberFormat="1"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vertical="center"/>
    </xf>
    <xf numFmtId="0" fontId="12" fillId="0" borderId="3" xfId="0" applyFont="1" applyBorder="1" applyAlignment="1">
      <alignment horizontal="center" vertical="center"/>
    </xf>
    <xf numFmtId="0" fontId="8" fillId="0" borderId="0" xfId="0" applyFont="1"/>
    <xf numFmtId="0" fontId="9" fillId="0" borderId="1" xfId="0" applyFont="1" applyBorder="1" applyAlignment="1">
      <alignment horizontal="center" vertical="center" wrapText="1"/>
    </xf>
    <xf numFmtId="165" fontId="13" fillId="0" borderId="1" xfId="0" applyNumberFormat="1" applyFont="1" applyBorder="1" applyAlignment="1">
      <alignment horizontal="center" vertical="center"/>
    </xf>
    <xf numFmtId="0" fontId="9" fillId="0" borderId="5" xfId="0" applyFont="1" applyBorder="1" applyAlignment="1">
      <alignment horizontal="left" vertical="center"/>
    </xf>
    <xf numFmtId="0" fontId="9" fillId="0" borderId="0" xfId="0" applyFont="1" applyAlignment="1">
      <alignment horizontal="left" vertical="center"/>
    </xf>
    <xf numFmtId="0" fontId="13" fillId="0" borderId="5" xfId="0" applyFont="1" applyBorder="1" applyAlignment="1">
      <alignment horizontal="left" vertical="center"/>
    </xf>
    <xf numFmtId="0" fontId="13" fillId="0" borderId="4" xfId="0" applyFont="1" applyBorder="1" applyAlignment="1">
      <alignment horizontal="left" vertical="center" wrapText="1"/>
    </xf>
    <xf numFmtId="0" fontId="13" fillId="0" borderId="1" xfId="0" applyFont="1" applyBorder="1" applyAlignment="1">
      <alignment horizontal="left" vertical="center"/>
    </xf>
    <xf numFmtId="0" fontId="9" fillId="0" borderId="1" xfId="0" applyFont="1" applyBorder="1" applyAlignment="1">
      <alignment horizontal="left" vertical="center"/>
    </xf>
    <xf numFmtId="0" fontId="13" fillId="0" borderId="6" xfId="0" applyFont="1" applyBorder="1" applyAlignment="1">
      <alignment horizontal="center" vertical="center"/>
    </xf>
    <xf numFmtId="0" fontId="4" fillId="0" borderId="0" xfId="0" applyFont="1"/>
    <xf numFmtId="0" fontId="12" fillId="0" borderId="1" xfId="0" applyFont="1" applyBorder="1" applyAlignment="1">
      <alignment horizontal="center" vertical="center"/>
    </xf>
    <xf numFmtId="0" fontId="13" fillId="0" borderId="1" xfId="0" applyFont="1" applyBorder="1" applyAlignment="1">
      <alignment vertical="center" wrapText="1"/>
    </xf>
    <xf numFmtId="164" fontId="13" fillId="0" borderId="1" xfId="0" applyNumberFormat="1" applyFont="1" applyBorder="1" applyAlignment="1">
      <alignment horizontal="center" vertical="center"/>
    </xf>
    <xf numFmtId="0" fontId="13" fillId="0" borderId="1" xfId="0" applyFont="1" applyBorder="1" applyAlignment="1">
      <alignment vertical="center"/>
    </xf>
    <xf numFmtId="0" fontId="12" fillId="9" borderId="1" xfId="0" applyFont="1" applyFill="1" applyBorder="1" applyAlignment="1">
      <alignment horizontal="center" vertical="center"/>
    </xf>
    <xf numFmtId="165" fontId="13" fillId="9" borderId="1" xfId="0" applyNumberFormat="1" applyFont="1" applyFill="1" applyBorder="1" applyAlignment="1">
      <alignment horizontal="center" vertical="center"/>
    </xf>
    <xf numFmtId="165" fontId="12" fillId="9" borderId="1" xfId="0" applyNumberFormat="1" applyFont="1" applyFill="1" applyBorder="1" applyAlignment="1">
      <alignment horizontal="center" vertical="center"/>
    </xf>
    <xf numFmtId="0" fontId="13" fillId="9" borderId="1" xfId="0" applyFont="1" applyFill="1" applyBorder="1" applyAlignment="1">
      <alignment horizontal="center" vertical="center"/>
    </xf>
    <xf numFmtId="0" fontId="13" fillId="0" borderId="0" xfId="0" applyFont="1" applyAlignment="1">
      <alignment horizontal="center" vertical="center"/>
    </xf>
    <xf numFmtId="164" fontId="12" fillId="9" borderId="1" xfId="0" applyNumberFormat="1" applyFont="1" applyFill="1" applyBorder="1" applyAlignment="1">
      <alignment horizontal="center" vertical="center"/>
    </xf>
    <xf numFmtId="0" fontId="12" fillId="4" borderId="6" xfId="0" applyFont="1" applyFill="1" applyBorder="1" applyAlignment="1">
      <alignment horizontal="center" vertical="center"/>
    </xf>
    <xf numFmtId="0" fontId="13" fillId="4" borderId="7" xfId="0" applyFont="1" applyFill="1" applyBorder="1" applyAlignment="1">
      <alignment horizontal="center" vertical="center"/>
    </xf>
    <xf numFmtId="164" fontId="12" fillId="4" borderId="7" xfId="0" applyNumberFormat="1" applyFont="1" applyFill="1" applyBorder="1" applyAlignment="1">
      <alignment horizontal="center" vertical="center"/>
    </xf>
    <xf numFmtId="0" fontId="12" fillId="4" borderId="7" xfId="0" applyFont="1" applyFill="1" applyBorder="1" applyAlignment="1">
      <alignment horizontal="center" vertical="center"/>
    </xf>
    <xf numFmtId="164" fontId="12" fillId="4" borderId="2" xfId="0" applyNumberFormat="1" applyFont="1" applyFill="1" applyBorder="1" applyAlignment="1">
      <alignment horizontal="center" vertical="center"/>
    </xf>
    <xf numFmtId="1" fontId="12" fillId="0" borderId="1" xfId="0" applyNumberFormat="1" applyFont="1" applyBorder="1" applyAlignment="1">
      <alignment horizontal="center" vertical="center"/>
    </xf>
    <xf numFmtId="164" fontId="13" fillId="9" borderId="1" xfId="0" applyNumberFormat="1" applyFont="1" applyFill="1" applyBorder="1" applyAlignment="1">
      <alignment horizontal="center" vertical="center"/>
    </xf>
    <xf numFmtId="165" fontId="12" fillId="7" borderId="1" xfId="0" applyNumberFormat="1" applyFont="1" applyFill="1" applyBorder="1" applyAlignment="1">
      <alignment horizontal="center" vertical="center"/>
    </xf>
    <xf numFmtId="1" fontId="13" fillId="0" borderId="1" xfId="0" applyNumberFormat="1" applyFont="1" applyBorder="1" applyAlignment="1">
      <alignment horizontal="center" vertical="center"/>
    </xf>
    <xf numFmtId="0" fontId="12" fillId="0" borderId="4" xfId="0" applyFont="1" applyBorder="1" applyAlignment="1">
      <alignment horizontal="center" vertical="center" wrapText="1"/>
    </xf>
    <xf numFmtId="0" fontId="14" fillId="0" borderId="0" xfId="0" applyFont="1" applyAlignment="1">
      <alignment horizontal="center"/>
    </xf>
    <xf numFmtId="0" fontId="15" fillId="0" borderId="0" xfId="0" applyFont="1" applyAlignment="1">
      <alignment horizontal="center"/>
    </xf>
    <xf numFmtId="0" fontId="12" fillId="0" borderId="8" xfId="0" applyFont="1" applyBorder="1" applyAlignment="1">
      <alignment vertical="center" wrapText="1"/>
    </xf>
    <xf numFmtId="0" fontId="12" fillId="0" borderId="9" xfId="0" applyFont="1" applyBorder="1" applyAlignment="1">
      <alignment vertical="center" wrapText="1"/>
    </xf>
    <xf numFmtId="0" fontId="5" fillId="0" borderId="9" xfId="0" applyFont="1" applyBorder="1" applyAlignment="1">
      <alignment vertical="center" wrapText="1"/>
    </xf>
    <xf numFmtId="0" fontId="13" fillId="0" borderId="0" xfId="0" applyFont="1" applyAlignment="1">
      <alignment horizontal="left" vertical="center"/>
    </xf>
    <xf numFmtId="165" fontId="12" fillId="8" borderId="2" xfId="0" applyNumberFormat="1" applyFont="1" applyFill="1" applyBorder="1" applyAlignment="1">
      <alignment horizontal="center" vertical="center"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6" fillId="0" borderId="1" xfId="0" applyFont="1" applyBorder="1" applyAlignment="1">
      <alignment horizontal="left" vertical="center"/>
    </xf>
    <xf numFmtId="0" fontId="12" fillId="0" borderId="1" xfId="0" applyFont="1" applyBorder="1" applyAlignment="1">
      <alignment vertical="center" wrapText="1"/>
    </xf>
    <xf numFmtId="0" fontId="5" fillId="0" borderId="1" xfId="0" applyFont="1" applyBorder="1" applyAlignment="1">
      <alignment vertical="center" wrapText="1"/>
    </xf>
    <xf numFmtId="0" fontId="12" fillId="0" borderId="0" xfId="0" applyFont="1" applyAlignment="1">
      <alignment horizontal="right" vertical="center"/>
    </xf>
    <xf numFmtId="0" fontId="12" fillId="0" borderId="1" xfId="0" applyFont="1" applyBorder="1" applyAlignment="1">
      <alignment horizontal="left" vertical="center" wrapText="1"/>
    </xf>
    <xf numFmtId="164" fontId="13"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10"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164" fontId="13" fillId="0" borderId="0" xfId="0" applyNumberFormat="1" applyFont="1" applyAlignment="1">
      <alignment horizontal="center"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6" fillId="0" borderId="0" xfId="0" applyFont="1" applyAlignment="1">
      <alignment vertical="center"/>
    </xf>
    <xf numFmtId="165" fontId="12" fillId="5" borderId="4" xfId="0" applyNumberFormat="1" applyFont="1" applyFill="1" applyBorder="1" applyAlignment="1">
      <alignment horizontal="center" vertical="center"/>
    </xf>
    <xf numFmtId="165" fontId="12" fillId="0" borderId="4" xfId="0" applyNumberFormat="1" applyFont="1" applyBorder="1" applyAlignment="1">
      <alignment horizontal="center" vertical="center"/>
    </xf>
    <xf numFmtId="0" fontId="13" fillId="0" borderId="0" xfId="0" applyFont="1"/>
    <xf numFmtId="165" fontId="5" fillId="5" borderId="1" xfId="0" applyNumberFormat="1" applyFont="1" applyFill="1" applyBorder="1" applyAlignment="1">
      <alignment horizontal="center" vertical="center"/>
    </xf>
    <xf numFmtId="0" fontId="12" fillId="11" borderId="1" xfId="0" applyFont="1" applyFill="1" applyBorder="1" applyAlignment="1">
      <alignment horizontal="center" vertical="center"/>
    </xf>
    <xf numFmtId="0" fontId="12" fillId="11"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164" fontId="12" fillId="11" borderId="1" xfId="0" applyNumberFormat="1" applyFont="1" applyFill="1" applyBorder="1" applyAlignment="1">
      <alignment horizontal="center" vertical="center"/>
    </xf>
    <xf numFmtId="0" fontId="13" fillId="11" borderId="1" xfId="0" applyFont="1" applyFill="1" applyBorder="1" applyAlignment="1">
      <alignment horizontal="center" vertical="center"/>
    </xf>
    <xf numFmtId="0" fontId="5" fillId="13" borderId="1" xfId="0" applyFont="1" applyFill="1" applyBorder="1" applyAlignment="1">
      <alignment horizontal="center" vertical="center"/>
    </xf>
    <xf numFmtId="164" fontId="5" fillId="13" borderId="1" xfId="0" applyNumberFormat="1" applyFont="1" applyFill="1" applyBorder="1" applyAlignment="1">
      <alignment horizontal="center" vertical="center"/>
    </xf>
    <xf numFmtId="0" fontId="5" fillId="11" borderId="1" xfId="0" applyFont="1" applyFill="1" applyBorder="1" applyAlignment="1">
      <alignment horizontal="center" vertical="center"/>
    </xf>
    <xf numFmtId="164" fontId="5" fillId="11" borderId="1" xfId="0" applyNumberFormat="1" applyFont="1" applyFill="1" applyBorder="1" applyAlignment="1">
      <alignment horizontal="center" vertical="center"/>
    </xf>
    <xf numFmtId="164" fontId="12" fillId="10" borderId="1" xfId="0" applyNumberFormat="1" applyFont="1" applyFill="1" applyBorder="1" applyAlignment="1">
      <alignment horizontal="center" vertical="center"/>
    </xf>
    <xf numFmtId="2" fontId="5" fillId="13" borderId="1" xfId="0" applyNumberFormat="1" applyFont="1" applyFill="1" applyBorder="1" applyAlignment="1">
      <alignment horizontal="center" vertical="center"/>
    </xf>
    <xf numFmtId="2" fontId="5" fillId="11" borderId="1" xfId="0" applyNumberFormat="1" applyFont="1" applyFill="1" applyBorder="1" applyAlignment="1">
      <alignment horizontal="center" vertical="center"/>
    </xf>
    <xf numFmtId="2" fontId="12" fillId="10" borderId="1" xfId="0" applyNumberFormat="1" applyFont="1" applyFill="1" applyBorder="1" applyAlignment="1">
      <alignment horizontal="center" vertical="center"/>
    </xf>
    <xf numFmtId="10" fontId="5" fillId="13" borderId="1" xfId="0" applyNumberFormat="1" applyFont="1" applyFill="1" applyBorder="1" applyAlignment="1">
      <alignment horizontal="center" vertical="center"/>
    </xf>
    <xf numFmtId="10" fontId="5" fillId="11" borderId="1" xfId="0" applyNumberFormat="1" applyFont="1" applyFill="1" applyBorder="1" applyAlignment="1">
      <alignment horizontal="center" vertical="center"/>
    </xf>
    <xf numFmtId="0" fontId="5" fillId="9" borderId="1" xfId="0" applyFont="1" applyFill="1" applyBorder="1" applyAlignment="1">
      <alignment horizontal="center" vertical="center"/>
    </xf>
    <xf numFmtId="10" fontId="12" fillId="10" borderId="1" xfId="0" applyNumberFormat="1" applyFont="1" applyFill="1" applyBorder="1" applyAlignment="1">
      <alignment horizontal="center" vertical="center"/>
    </xf>
    <xf numFmtId="0" fontId="12" fillId="13" borderId="1" xfId="0" applyFont="1" applyFill="1" applyBorder="1" applyAlignment="1">
      <alignment horizontal="center" vertical="center"/>
    </xf>
    <xf numFmtId="164" fontId="12" fillId="13" borderId="1" xfId="0" applyNumberFormat="1" applyFont="1" applyFill="1" applyBorder="1" applyAlignment="1">
      <alignment horizontal="center" vertical="center"/>
    </xf>
    <xf numFmtId="165" fontId="5" fillId="11" borderId="1" xfId="0" applyNumberFormat="1" applyFont="1" applyFill="1" applyBorder="1" applyAlignment="1">
      <alignment horizontal="center" vertical="center"/>
    </xf>
    <xf numFmtId="165" fontId="5" fillId="13" borderId="1" xfId="0" applyNumberFormat="1" applyFont="1" applyFill="1" applyBorder="1" applyAlignment="1">
      <alignment horizontal="center" vertical="center"/>
    </xf>
    <xf numFmtId="0" fontId="9" fillId="13" borderId="1" xfId="0" applyFont="1" applyFill="1" applyBorder="1" applyAlignment="1">
      <alignment horizontal="center" vertical="center"/>
    </xf>
    <xf numFmtId="10" fontId="12" fillId="9" borderId="1" xfId="0" applyNumberFormat="1" applyFont="1" applyFill="1" applyBorder="1" applyAlignment="1">
      <alignment horizontal="center" vertical="center"/>
    </xf>
    <xf numFmtId="10" fontId="12" fillId="11" borderId="1" xfId="0" applyNumberFormat="1" applyFont="1" applyFill="1" applyBorder="1" applyAlignment="1">
      <alignment horizontal="center" vertical="center"/>
    </xf>
    <xf numFmtId="0" fontId="9" fillId="9" borderId="1" xfId="0" applyFont="1" applyFill="1" applyBorder="1" applyAlignment="1">
      <alignment horizontal="center" vertical="center"/>
    </xf>
    <xf numFmtId="164" fontId="5" fillId="9" borderId="1" xfId="0" applyNumberFormat="1" applyFont="1" applyFill="1" applyBorder="1" applyAlignment="1">
      <alignment horizontal="center" vertical="center"/>
    </xf>
    <xf numFmtId="0" fontId="12" fillId="11" borderId="0" xfId="0" applyFont="1" applyFill="1" applyAlignment="1">
      <alignment horizontal="center" vertical="center" wrapText="1"/>
    </xf>
    <xf numFmtId="0" fontId="12" fillId="13" borderId="1" xfId="0" applyFont="1" applyFill="1" applyBorder="1" applyAlignment="1">
      <alignment horizontal="center" vertical="center" wrapText="1"/>
    </xf>
    <xf numFmtId="164" fontId="12" fillId="13" borderId="1" xfId="0" applyNumberFormat="1" applyFont="1" applyFill="1" applyBorder="1" applyAlignment="1">
      <alignment horizontal="center" vertical="center" wrapText="1"/>
    </xf>
    <xf numFmtId="0" fontId="14" fillId="0" borderId="0" xfId="0" applyFont="1"/>
    <xf numFmtId="0" fontId="0" fillId="4" borderId="0" xfId="0" applyFill="1"/>
    <xf numFmtId="0" fontId="7" fillId="13" borderId="1" xfId="0" applyFont="1" applyFill="1" applyBorder="1" applyAlignment="1">
      <alignment horizontal="center" vertical="center"/>
    </xf>
    <xf numFmtId="164" fontId="7" fillId="13" borderId="1" xfId="0" applyNumberFormat="1" applyFont="1" applyFill="1" applyBorder="1" applyAlignment="1">
      <alignment horizontal="center" vertical="center"/>
    </xf>
    <xf numFmtId="0" fontId="7" fillId="11" borderId="1" xfId="0" applyFont="1" applyFill="1" applyBorder="1" applyAlignment="1">
      <alignment horizontal="center" vertical="center"/>
    </xf>
    <xf numFmtId="164" fontId="7" fillId="11" borderId="1" xfId="0" applyNumberFormat="1" applyFont="1" applyFill="1" applyBorder="1" applyAlignment="1">
      <alignment horizontal="center" vertical="center"/>
    </xf>
    <xf numFmtId="0" fontId="13" fillId="14" borderId="1" xfId="0" applyFont="1" applyFill="1" applyBorder="1" applyAlignment="1">
      <alignment horizontal="center" vertical="center"/>
    </xf>
    <xf numFmtId="2" fontId="7" fillId="13" borderId="1" xfId="0" applyNumberFormat="1" applyFont="1" applyFill="1" applyBorder="1" applyAlignment="1">
      <alignment horizontal="center" vertical="center"/>
    </xf>
    <xf numFmtId="2" fontId="7" fillId="11" borderId="1" xfId="0" applyNumberFormat="1" applyFont="1" applyFill="1" applyBorder="1" applyAlignment="1">
      <alignment horizontal="center" vertical="center"/>
    </xf>
    <xf numFmtId="10" fontId="7" fillId="13" borderId="1" xfId="0" applyNumberFormat="1" applyFont="1" applyFill="1" applyBorder="1" applyAlignment="1">
      <alignment horizontal="center" vertical="center"/>
    </xf>
    <xf numFmtId="10" fontId="7" fillId="11" borderId="1" xfId="0" applyNumberFormat="1" applyFont="1" applyFill="1" applyBorder="1" applyAlignment="1">
      <alignment horizontal="center" vertical="center"/>
    </xf>
    <xf numFmtId="0" fontId="12" fillId="14" borderId="1" xfId="0" applyFont="1" applyFill="1" applyBorder="1" applyAlignment="1">
      <alignment horizontal="center" vertical="center"/>
    </xf>
    <xf numFmtId="0" fontId="26" fillId="0" borderId="0" xfId="0" applyFont="1"/>
    <xf numFmtId="0" fontId="25" fillId="13" borderId="1" xfId="0" applyFont="1" applyFill="1" applyBorder="1" applyAlignment="1">
      <alignment horizontal="center" vertical="center"/>
    </xf>
    <xf numFmtId="0" fontId="25" fillId="11" borderId="1" xfId="0" applyFont="1" applyFill="1" applyBorder="1" applyAlignment="1">
      <alignment horizontal="center" vertical="center"/>
    </xf>
    <xf numFmtId="10" fontId="12" fillId="13" borderId="1" xfId="0" applyNumberFormat="1" applyFont="1" applyFill="1" applyBorder="1" applyAlignment="1">
      <alignment horizontal="center" vertical="center"/>
    </xf>
    <xf numFmtId="164" fontId="7" fillId="9" borderId="1" xfId="0" applyNumberFormat="1" applyFont="1" applyFill="1" applyBorder="1" applyAlignment="1">
      <alignment horizontal="center" vertical="center"/>
    </xf>
    <xf numFmtId="0" fontId="25" fillId="9" borderId="1" xfId="0" applyFont="1" applyFill="1" applyBorder="1" applyAlignment="1">
      <alignment horizontal="center" vertical="center"/>
    </xf>
    <xf numFmtId="0" fontId="9" fillId="11" borderId="1" xfId="0" applyFont="1" applyFill="1" applyBorder="1" applyAlignment="1">
      <alignment horizontal="center" vertical="center"/>
    </xf>
    <xf numFmtId="0" fontId="5" fillId="13" borderId="1" xfId="0" applyFont="1" applyFill="1" applyBorder="1" applyAlignment="1">
      <alignment horizontal="center"/>
    </xf>
    <xf numFmtId="0" fontId="9" fillId="13" borderId="1" xfId="0" applyFont="1" applyFill="1" applyBorder="1" applyAlignment="1">
      <alignment horizontal="center"/>
    </xf>
    <xf numFmtId="164" fontId="5" fillId="13" borderId="1" xfId="0" applyNumberFormat="1" applyFont="1" applyFill="1" applyBorder="1" applyAlignment="1">
      <alignment horizontal="center"/>
    </xf>
    <xf numFmtId="164" fontId="5" fillId="11" borderId="1" xfId="0" applyNumberFormat="1" applyFont="1" applyFill="1" applyBorder="1" applyAlignment="1">
      <alignment horizontal="center"/>
    </xf>
    <xf numFmtId="0" fontId="9" fillId="11" borderId="1" xfId="0" applyFont="1" applyFill="1" applyBorder="1" applyAlignment="1">
      <alignment horizontal="center"/>
    </xf>
    <xf numFmtId="0" fontId="9" fillId="9" borderId="1" xfId="0" applyFont="1" applyFill="1" applyBorder="1" applyAlignment="1">
      <alignment horizontal="center"/>
    </xf>
    <xf numFmtId="0" fontId="5" fillId="11" borderId="1" xfId="0" applyFont="1" applyFill="1" applyBorder="1" applyAlignment="1">
      <alignment horizontal="center"/>
    </xf>
    <xf numFmtId="0" fontId="29" fillId="0" borderId="0" xfId="0" applyFont="1"/>
    <xf numFmtId="0" fontId="5" fillId="9" borderId="1" xfId="0" applyFont="1" applyFill="1" applyBorder="1" applyAlignment="1">
      <alignment horizontal="center"/>
    </xf>
    <xf numFmtId="10" fontId="5" fillId="10" borderId="1" xfId="0" applyNumberFormat="1" applyFont="1" applyFill="1" applyBorder="1" applyAlignment="1">
      <alignment horizontal="center" vertical="center"/>
    </xf>
    <xf numFmtId="164" fontId="5" fillId="10" borderId="1" xfId="0" applyNumberFormat="1" applyFont="1" applyFill="1" applyBorder="1" applyAlignment="1">
      <alignment horizontal="center" vertical="center"/>
    </xf>
    <xf numFmtId="0" fontId="0" fillId="0" borderId="0" xfId="0" applyAlignment="1">
      <alignment horizontal="center" vertical="center"/>
    </xf>
    <xf numFmtId="164" fontId="12" fillId="9" borderId="1" xfId="0" applyNumberFormat="1" applyFont="1" applyFill="1" applyBorder="1" applyAlignment="1">
      <alignment horizontal="center" vertical="center" wrapText="1"/>
    </xf>
    <xf numFmtId="165" fontId="12" fillId="9" borderId="1" xfId="0" applyNumberFormat="1" applyFont="1" applyFill="1" applyBorder="1" applyAlignment="1">
      <alignment horizontal="center" vertical="center" wrapText="1"/>
    </xf>
    <xf numFmtId="0" fontId="0" fillId="0" borderId="0" xfId="0" applyAlignment="1">
      <alignment horizontal="center"/>
    </xf>
    <xf numFmtId="0" fontId="12" fillId="11" borderId="1" xfId="0" applyFont="1" applyFill="1" applyBorder="1" applyAlignment="1">
      <alignment vertical="center" wrapText="1"/>
    </xf>
    <xf numFmtId="164" fontId="12" fillId="11" borderId="1" xfId="0" applyNumberFormat="1" applyFont="1" applyFill="1" applyBorder="1" applyAlignment="1">
      <alignment horizontal="center" vertical="center" wrapText="1"/>
    </xf>
    <xf numFmtId="165" fontId="5" fillId="11" borderId="1" xfId="0" applyNumberFormat="1" applyFont="1" applyFill="1" applyBorder="1" applyAlignment="1">
      <alignment horizontal="center" vertical="center" wrapText="1"/>
    </xf>
    <xf numFmtId="165" fontId="5" fillId="9" borderId="1" xfId="0" applyNumberFormat="1" applyFont="1" applyFill="1" applyBorder="1" applyAlignment="1">
      <alignment horizontal="center" vertical="center" wrapText="1"/>
    </xf>
    <xf numFmtId="165" fontId="12" fillId="11" borderId="1" xfId="0" applyNumberFormat="1" applyFont="1" applyFill="1" applyBorder="1" applyAlignment="1">
      <alignment horizontal="center" vertical="center" wrapText="1"/>
    </xf>
    <xf numFmtId="0" fontId="12" fillId="11" borderId="4"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7" xfId="0" applyFont="1" applyFill="1" applyBorder="1" applyAlignment="1">
      <alignment horizontal="center" vertical="center" wrapText="1"/>
    </xf>
    <xf numFmtId="165" fontId="12" fillId="9" borderId="7" xfId="0" applyNumberFormat="1" applyFont="1" applyFill="1" applyBorder="1" applyAlignment="1">
      <alignment horizontal="center" vertical="center" wrapText="1"/>
    </xf>
    <xf numFmtId="165" fontId="12" fillId="9" borderId="2" xfId="0" applyNumberFormat="1" applyFont="1" applyFill="1" applyBorder="1" applyAlignment="1">
      <alignment horizontal="center" vertical="center" wrapText="1"/>
    </xf>
    <xf numFmtId="0" fontId="1" fillId="0" borderId="0" xfId="3"/>
    <xf numFmtId="0" fontId="31" fillId="0" borderId="0" xfId="3" applyFont="1" applyAlignment="1">
      <alignment horizontal="left" vertical="center" wrapText="1"/>
    </xf>
    <xf numFmtId="0" fontId="1" fillId="0" borderId="0" xfId="3" applyAlignment="1">
      <alignment wrapText="1"/>
    </xf>
    <xf numFmtId="0" fontId="31" fillId="0" borderId="0" xfId="3" applyFont="1" applyAlignment="1">
      <alignment horizontal="left" vertical="center" indent="1"/>
    </xf>
    <xf numFmtId="0" fontId="31" fillId="0" borderId="0" xfId="3" applyFont="1" applyAlignment="1">
      <alignment horizontal="left" vertical="center" wrapText="1" indent="1"/>
    </xf>
    <xf numFmtId="0" fontId="31" fillId="0" borderId="0" xfId="3" applyFont="1" applyAlignment="1">
      <alignment horizontal="center" vertical="center"/>
    </xf>
    <xf numFmtId="0" fontId="1" fillId="0" borderId="0" xfId="3" applyAlignment="1">
      <alignment horizontal="left" vertical="center" wrapText="1" indent="1"/>
    </xf>
    <xf numFmtId="166" fontId="1" fillId="0" borderId="0" xfId="3" applyNumberFormat="1" applyAlignment="1">
      <alignment horizontal="left" vertical="center" wrapText="1" indent="1"/>
    </xf>
    <xf numFmtId="167" fontId="1" fillId="0" borderId="0" xfId="3" applyNumberFormat="1" applyAlignment="1">
      <alignment horizontal="left" vertical="center" wrapText="1" indent="1"/>
    </xf>
    <xf numFmtId="0" fontId="31" fillId="0" borderId="0" xfId="3" applyFont="1" applyAlignment="1">
      <alignment horizontal="left" indent="1"/>
    </xf>
    <xf numFmtId="165" fontId="3" fillId="16" borderId="1" xfId="0" applyNumberFormat="1" applyFont="1" applyFill="1" applyBorder="1" applyAlignment="1">
      <alignment horizontal="center" vertical="center"/>
    </xf>
    <xf numFmtId="165" fontId="4" fillId="16" borderId="1" xfId="0" applyNumberFormat="1" applyFont="1" applyFill="1" applyBorder="1" applyAlignment="1">
      <alignment horizontal="center" vertical="center" wrapText="1"/>
    </xf>
    <xf numFmtId="165" fontId="9" fillId="16" borderId="1" xfId="0" applyNumberFormat="1" applyFont="1" applyFill="1" applyBorder="1" applyAlignment="1">
      <alignment horizontal="center" vertical="center" wrapText="1"/>
    </xf>
    <xf numFmtId="165" fontId="9" fillId="16" borderId="1" xfId="0" applyNumberFormat="1" applyFont="1" applyFill="1" applyBorder="1" applyAlignment="1">
      <alignment horizontal="center" vertical="center"/>
    </xf>
    <xf numFmtId="165" fontId="13" fillId="16" borderId="1" xfId="0" applyNumberFormat="1" applyFont="1" applyFill="1" applyBorder="1" applyAlignment="1">
      <alignment horizontal="center" vertical="center"/>
    </xf>
    <xf numFmtId="164" fontId="12" fillId="0" borderId="1" xfId="0" applyNumberFormat="1" applyFont="1" applyBorder="1" applyAlignment="1">
      <alignment horizontal="center" vertical="center"/>
    </xf>
    <xf numFmtId="165" fontId="12" fillId="0" borderId="1" xfId="0" applyNumberFormat="1" applyFont="1" applyBorder="1" applyAlignment="1">
      <alignment horizontal="center" vertical="center"/>
    </xf>
    <xf numFmtId="164" fontId="9" fillId="16" borderId="1" xfId="0" applyNumberFormat="1" applyFont="1" applyFill="1" applyBorder="1" applyAlignment="1">
      <alignment horizontal="center" vertical="center"/>
    </xf>
    <xf numFmtId="164" fontId="13" fillId="16" borderId="1" xfId="0" applyNumberFormat="1" applyFont="1" applyFill="1" applyBorder="1" applyAlignment="1">
      <alignment horizontal="center" vertical="center" wrapText="1"/>
    </xf>
    <xf numFmtId="4" fontId="13" fillId="16" borderId="1" xfId="0" applyNumberFormat="1" applyFont="1" applyFill="1" applyBorder="1" applyAlignment="1">
      <alignment horizontal="center" vertical="center" wrapText="1"/>
    </xf>
    <xf numFmtId="164" fontId="12" fillId="0" borderId="1" xfId="0" applyNumberFormat="1" applyFont="1" applyBorder="1" applyAlignment="1">
      <alignment horizontal="center" vertical="center" wrapText="1"/>
    </xf>
    <xf numFmtId="164" fontId="9" fillId="16" borderId="1" xfId="0" applyNumberFormat="1" applyFont="1" applyFill="1" applyBorder="1" applyAlignment="1">
      <alignment horizontal="center" vertical="center" wrapText="1"/>
    </xf>
    <xf numFmtId="164" fontId="5" fillId="18" borderId="1" xfId="0" applyNumberFormat="1" applyFont="1" applyFill="1" applyBorder="1" applyAlignment="1">
      <alignment horizontal="center" vertical="center"/>
    </xf>
    <xf numFmtId="164" fontId="5" fillId="19" borderId="1" xfId="0" applyNumberFormat="1" applyFont="1" applyFill="1" applyBorder="1" applyAlignment="1">
      <alignment horizontal="center" vertical="center"/>
    </xf>
    <xf numFmtId="10" fontId="5" fillId="19" borderId="1" xfId="0" applyNumberFormat="1" applyFont="1" applyFill="1" applyBorder="1" applyAlignment="1">
      <alignment horizontal="center" vertical="center"/>
    </xf>
    <xf numFmtId="10" fontId="5" fillId="18" borderId="1" xfId="0" applyNumberFormat="1" applyFont="1" applyFill="1" applyBorder="1" applyAlignment="1">
      <alignment horizontal="center" vertical="center"/>
    </xf>
    <xf numFmtId="10" fontId="12" fillId="18" borderId="1" xfId="0" applyNumberFormat="1" applyFont="1" applyFill="1" applyBorder="1" applyAlignment="1">
      <alignment horizontal="center" vertical="center"/>
    </xf>
    <xf numFmtId="10" fontId="12" fillId="17" borderId="1" xfId="0" applyNumberFormat="1" applyFont="1" applyFill="1" applyBorder="1" applyAlignment="1">
      <alignment horizontal="center" vertical="center"/>
    </xf>
    <xf numFmtId="164" fontId="7" fillId="18" borderId="1" xfId="0" applyNumberFormat="1" applyFont="1" applyFill="1" applyBorder="1" applyAlignment="1">
      <alignment horizontal="center" vertical="center"/>
    </xf>
    <xf numFmtId="164" fontId="7" fillId="19" borderId="1" xfId="0" applyNumberFormat="1" applyFont="1" applyFill="1" applyBorder="1" applyAlignment="1">
      <alignment horizontal="center" vertical="center"/>
    </xf>
    <xf numFmtId="10" fontId="7" fillId="19" borderId="1" xfId="0" applyNumberFormat="1" applyFont="1" applyFill="1" applyBorder="1" applyAlignment="1">
      <alignment horizontal="center" vertical="center"/>
    </xf>
    <xf numFmtId="10" fontId="7" fillId="18" borderId="1" xfId="0" applyNumberFormat="1" applyFont="1" applyFill="1" applyBorder="1" applyAlignment="1">
      <alignment horizontal="center" vertical="center"/>
    </xf>
    <xf numFmtId="164" fontId="5" fillId="18" borderId="1" xfId="0" applyNumberFormat="1" applyFont="1" applyFill="1" applyBorder="1" applyAlignment="1">
      <alignment horizontal="center"/>
    </xf>
    <xf numFmtId="10" fontId="5" fillId="16" borderId="1" xfId="0" applyNumberFormat="1" applyFont="1" applyFill="1" applyBorder="1" applyAlignment="1">
      <alignment horizontal="center" vertical="center" wrapText="1"/>
    </xf>
    <xf numFmtId="0" fontId="31" fillId="0" borderId="0" xfId="3" applyFont="1" applyAlignment="1">
      <alignment horizontal="left" vertical="center" wrapText="1" indent="1"/>
    </xf>
    <xf numFmtId="0" fontId="30" fillId="15" borderId="0" xfId="3" applyFont="1" applyFill="1" applyAlignment="1">
      <alignment horizontal="center" vertical="center"/>
    </xf>
    <xf numFmtId="0" fontId="30" fillId="0" borderId="0" xfId="3" applyFont="1" applyAlignment="1">
      <alignment horizontal="center" vertical="center"/>
    </xf>
    <xf numFmtId="0" fontId="31" fillId="0" borderId="0" xfId="3" applyFont="1" applyAlignment="1">
      <alignment horizontal="left" vertical="center" wrapText="1"/>
    </xf>
    <xf numFmtId="0" fontId="32" fillId="0" borderId="0" xfId="3" applyFont="1" applyAlignment="1">
      <alignment horizontal="left"/>
    </xf>
    <xf numFmtId="0" fontId="13" fillId="0" borderId="1" xfId="0" applyFont="1" applyBorder="1" applyAlignment="1">
      <alignment horizontal="center" vertical="center" wrapText="1"/>
    </xf>
    <xf numFmtId="0" fontId="12" fillId="1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11"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2" fillId="11" borderId="1" xfId="0" applyFont="1" applyFill="1" applyBorder="1" applyAlignment="1">
      <alignment horizontal="left" vertical="center" wrapText="1"/>
    </xf>
    <xf numFmtId="0" fontId="12" fillId="9" borderId="1" xfId="0" applyFont="1" applyFill="1" applyBorder="1" applyAlignment="1">
      <alignment horizontal="left" vertical="center" wrapText="1"/>
    </xf>
    <xf numFmtId="0" fontId="12" fillId="11" borderId="4"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9" borderId="1" xfId="0" applyFont="1" applyFill="1" applyBorder="1" applyAlignment="1">
      <alignment horizontal="center" vertical="center" wrapText="1"/>
    </xf>
    <xf numFmtId="165" fontId="12" fillId="9" borderId="1" xfId="0" applyNumberFormat="1" applyFont="1" applyFill="1" applyBorder="1" applyAlignment="1">
      <alignment horizontal="center" vertical="center" wrapText="1"/>
    </xf>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5" fontId="5" fillId="16" borderId="1" xfId="0" applyNumberFormat="1" applyFont="1" applyFill="1" applyBorder="1" applyAlignment="1">
      <alignment horizontal="center" vertical="center" wrapText="1"/>
    </xf>
    <xf numFmtId="165" fontId="7" fillId="16" borderId="1" xfId="0" applyNumberFormat="1" applyFont="1" applyFill="1" applyBorder="1" applyAlignment="1">
      <alignment horizontal="center" vertical="center" wrapText="1"/>
    </xf>
    <xf numFmtId="165" fontId="5"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wrapText="1"/>
    </xf>
    <xf numFmtId="0" fontId="5"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2" fillId="2" borderId="1" xfId="0" applyFont="1" applyFill="1" applyBorder="1" applyAlignment="1">
      <alignment horizontal="center" vertical="center"/>
    </xf>
    <xf numFmtId="0" fontId="12" fillId="8" borderId="1" xfId="0" applyFont="1" applyFill="1" applyBorder="1" applyAlignment="1">
      <alignment horizontal="center" vertical="center" wrapText="1"/>
    </xf>
    <xf numFmtId="165" fontId="12" fillId="0" borderId="1" xfId="0" applyNumberFormat="1" applyFont="1" applyBorder="1" applyAlignment="1">
      <alignment horizontal="center" vertical="center" wrapText="1"/>
    </xf>
    <xf numFmtId="0" fontId="12" fillId="2" borderId="6" xfId="0" applyFont="1" applyFill="1" applyBorder="1" applyAlignment="1">
      <alignment horizontal="center" vertical="center"/>
    </xf>
    <xf numFmtId="0" fontId="12" fillId="0" borderId="1" xfId="0" applyFont="1" applyBorder="1" applyAlignment="1">
      <alignment horizontal="center" vertical="center"/>
    </xf>
    <xf numFmtId="0" fontId="13" fillId="9" borderId="6" xfId="0" applyFont="1" applyFill="1" applyBorder="1" applyAlignment="1">
      <alignment horizontal="center" vertical="center"/>
    </xf>
    <xf numFmtId="0" fontId="12" fillId="4" borderId="1" xfId="0" applyFont="1" applyFill="1" applyBorder="1" applyAlignment="1">
      <alignment horizontal="center" vertical="center"/>
    </xf>
    <xf numFmtId="0" fontId="13" fillId="9" borderId="1" xfId="0" applyFont="1" applyFill="1" applyBorder="1" applyAlignment="1">
      <alignment horizontal="center" vertical="center"/>
    </xf>
    <xf numFmtId="1" fontId="12" fillId="0" borderId="1" xfId="0" applyNumberFormat="1"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left" vertical="center" wrapText="1"/>
    </xf>
    <xf numFmtId="1" fontId="13" fillId="0" borderId="1" xfId="0" applyNumberFormat="1" applyFont="1" applyBorder="1" applyAlignment="1">
      <alignment horizontal="center" vertical="center"/>
    </xf>
    <xf numFmtId="165" fontId="13" fillId="16" borderId="1" xfId="0" applyNumberFormat="1" applyFont="1" applyFill="1" applyBorder="1" applyAlignment="1">
      <alignment horizontal="center" vertical="center"/>
    </xf>
    <xf numFmtId="164" fontId="13" fillId="0" borderId="1" xfId="0" applyNumberFormat="1" applyFont="1" applyBorder="1" applyAlignment="1">
      <alignment horizontal="center" vertical="center"/>
    </xf>
    <xf numFmtId="0" fontId="12" fillId="8"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8" fillId="0" borderId="1" xfId="2" applyFont="1" applyBorder="1" applyAlignment="1" applyProtection="1">
      <alignment horizontal="center" vertical="center" wrapText="1"/>
    </xf>
    <xf numFmtId="0" fontId="12" fillId="5" borderId="4" xfId="0" applyFont="1" applyFill="1" applyBorder="1" applyAlignment="1">
      <alignment horizontal="center" vertical="center"/>
    </xf>
    <xf numFmtId="0" fontId="5" fillId="0" borderId="1" xfId="0" applyFont="1" applyBorder="1" applyAlignment="1">
      <alignment horizontal="center" vertical="center"/>
    </xf>
    <xf numFmtId="0" fontId="5" fillId="5" borderId="1" xfId="0" applyFont="1" applyFill="1" applyBorder="1" applyAlignment="1">
      <alignment horizontal="center" vertical="center"/>
    </xf>
    <xf numFmtId="0" fontId="13" fillId="4" borderId="4" xfId="0" applyFont="1" applyFill="1" applyBorder="1" applyAlignment="1">
      <alignment vertical="center"/>
    </xf>
    <xf numFmtId="0" fontId="13" fillId="0" borderId="1" xfId="0" applyFont="1" applyBorder="1" applyAlignment="1">
      <alignment vertical="center"/>
    </xf>
    <xf numFmtId="0" fontId="12" fillId="10" borderId="1" xfId="0" applyFont="1" applyFill="1" applyBorder="1" applyAlignment="1">
      <alignment horizontal="center" vertical="center"/>
    </xf>
    <xf numFmtId="0" fontId="12" fillId="11" borderId="1" xfId="0" applyFont="1" applyFill="1" applyBorder="1" applyAlignment="1">
      <alignment horizontal="center" vertical="center"/>
    </xf>
    <xf numFmtId="0" fontId="20" fillId="11" borderId="1" xfId="2" applyFont="1" applyFill="1" applyBorder="1" applyAlignment="1" applyProtection="1">
      <alignment horizontal="center" vertical="center"/>
    </xf>
    <xf numFmtId="0" fontId="12" fillId="9" borderId="1" xfId="0" applyFont="1" applyFill="1" applyBorder="1" applyAlignment="1">
      <alignment horizontal="center" vertical="center"/>
    </xf>
    <xf numFmtId="0" fontId="12" fillId="17" borderId="1" xfId="0" applyFont="1" applyFill="1" applyBorder="1" applyAlignment="1">
      <alignment horizontal="center" vertical="center"/>
    </xf>
    <xf numFmtId="0" fontId="12" fillId="18" borderId="1" xfId="0" applyFont="1" applyFill="1" applyBorder="1" applyAlignment="1">
      <alignment horizontal="center" vertical="center"/>
    </xf>
    <xf numFmtId="0" fontId="5" fillId="18" borderId="1" xfId="0" applyFont="1" applyFill="1" applyBorder="1" applyAlignment="1">
      <alignment horizontal="left" vertical="center"/>
    </xf>
    <xf numFmtId="0" fontId="20" fillId="9" borderId="1" xfId="2" applyFont="1" applyFill="1" applyBorder="1" applyAlignment="1" applyProtection="1">
      <alignment horizontal="center" vertical="center"/>
    </xf>
    <xf numFmtId="164" fontId="12" fillId="18" borderId="1" xfId="0" applyNumberFormat="1" applyFont="1" applyFill="1" applyBorder="1" applyAlignment="1">
      <alignment horizontal="center" vertical="center"/>
    </xf>
    <xf numFmtId="0" fontId="12" fillId="12" borderId="4" xfId="0" applyFont="1" applyFill="1" applyBorder="1" applyAlignment="1">
      <alignment horizontal="center" vertical="center"/>
    </xf>
    <xf numFmtId="0" fontId="13" fillId="11" borderId="1" xfId="0" applyFont="1" applyFill="1" applyBorder="1" applyAlignment="1">
      <alignment horizontal="center" vertical="center"/>
    </xf>
    <xf numFmtId="0" fontId="9" fillId="13" borderId="1" xfId="0" applyFont="1" applyFill="1" applyBorder="1" applyAlignment="1">
      <alignment horizontal="left" vertical="center"/>
    </xf>
    <xf numFmtId="0" fontId="9" fillId="11" borderId="1" xfId="0" applyFont="1" applyFill="1" applyBorder="1" applyAlignment="1">
      <alignment horizontal="left" vertical="center"/>
    </xf>
    <xf numFmtId="0" fontId="9" fillId="9" borderId="1" xfId="0" applyFont="1" applyFill="1" applyBorder="1" applyAlignment="1">
      <alignment horizontal="left" vertical="center"/>
    </xf>
    <xf numFmtId="0" fontId="13" fillId="11" borderId="1" xfId="0" applyFont="1" applyFill="1" applyBorder="1" applyAlignment="1">
      <alignment vertical="center"/>
    </xf>
    <xf numFmtId="0" fontId="12" fillId="13" borderId="1" xfId="0" applyFont="1" applyFill="1" applyBorder="1" applyAlignment="1">
      <alignment horizontal="center" vertical="center"/>
    </xf>
    <xf numFmtId="164" fontId="12" fillId="13" borderId="1" xfId="0" applyNumberFormat="1" applyFont="1" applyFill="1" applyBorder="1" applyAlignment="1">
      <alignment horizontal="center" vertical="center"/>
    </xf>
    <xf numFmtId="0" fontId="12" fillId="11" borderId="1" xfId="0" applyFont="1" applyFill="1" applyBorder="1" applyAlignment="1">
      <alignment vertical="center"/>
    </xf>
    <xf numFmtId="0" fontId="12" fillId="13" borderId="1" xfId="0" applyFont="1" applyFill="1" applyBorder="1" applyAlignment="1">
      <alignment vertical="center"/>
    </xf>
    <xf numFmtId="0" fontId="9" fillId="13" borderId="1" xfId="0" applyFont="1" applyFill="1" applyBorder="1" applyAlignment="1">
      <alignment horizontal="left" vertical="center" wrapText="1"/>
    </xf>
    <xf numFmtId="164" fontId="9" fillId="13" borderId="1" xfId="0" applyNumberFormat="1" applyFont="1" applyFill="1" applyBorder="1" applyAlignment="1">
      <alignment horizontal="left" vertical="center"/>
    </xf>
    <xf numFmtId="0" fontId="9" fillId="13" borderId="1" xfId="0" applyFont="1" applyFill="1" applyBorder="1" applyAlignment="1">
      <alignment horizontal="center" vertical="center"/>
    </xf>
    <xf numFmtId="0" fontId="13" fillId="13" borderId="1" xfId="0" applyFont="1" applyFill="1" applyBorder="1" applyAlignment="1">
      <alignment vertical="center"/>
    </xf>
    <xf numFmtId="0" fontId="13" fillId="9" borderId="1" xfId="0" applyFont="1" applyFill="1" applyBorder="1" applyAlignment="1">
      <alignment vertical="center"/>
    </xf>
    <xf numFmtId="0" fontId="13" fillId="4" borderId="4" xfId="0" applyFont="1" applyFill="1" applyBorder="1"/>
    <xf numFmtId="0" fontId="25" fillId="13" borderId="1" xfId="0" applyFont="1" applyFill="1" applyBorder="1" applyAlignment="1">
      <alignment horizontal="left" vertical="center"/>
    </xf>
    <xf numFmtId="0" fontId="25" fillId="11" borderId="1" xfId="0" applyFont="1" applyFill="1" applyBorder="1" applyAlignment="1">
      <alignment horizontal="left" vertical="center"/>
    </xf>
    <xf numFmtId="0" fontId="25" fillId="9" borderId="1" xfId="0" applyFont="1" applyFill="1" applyBorder="1" applyAlignment="1">
      <alignment horizontal="left" vertical="center"/>
    </xf>
    <xf numFmtId="0" fontId="13" fillId="14" borderId="1" xfId="0" applyFont="1" applyFill="1" applyBorder="1" applyAlignment="1">
      <alignment horizontal="center" vertical="center"/>
    </xf>
    <xf numFmtId="0" fontId="12" fillId="14" borderId="1" xfId="0" applyFont="1" applyFill="1" applyBorder="1" applyAlignment="1">
      <alignment vertical="center"/>
    </xf>
    <xf numFmtId="0" fontId="25" fillId="11" borderId="1" xfId="0" applyFont="1" applyFill="1" applyBorder="1" applyAlignment="1">
      <alignment vertical="center"/>
    </xf>
    <xf numFmtId="164" fontId="25" fillId="13" borderId="1" xfId="0" applyNumberFormat="1" applyFont="1" applyFill="1" applyBorder="1" applyAlignment="1">
      <alignment horizontal="left" vertical="center"/>
    </xf>
    <xf numFmtId="0" fontId="20" fillId="9" borderId="1" xfId="1" applyFont="1" applyFill="1" applyBorder="1" applyAlignment="1" applyProtection="1">
      <alignment horizontal="center" vertical="center"/>
    </xf>
    <xf numFmtId="0" fontId="9" fillId="11" borderId="1" xfId="0" applyFont="1" applyFill="1" applyBorder="1" applyAlignment="1">
      <alignment horizontal="center" vertical="center"/>
    </xf>
    <xf numFmtId="0" fontId="12" fillId="0" borderId="1" xfId="0" applyFont="1" applyBorder="1" applyAlignment="1">
      <alignment vertical="center"/>
    </xf>
    <xf numFmtId="0" fontId="13" fillId="0" borderId="4" xfId="0" applyFont="1" applyBorder="1" applyAlignment="1">
      <alignment vertical="center"/>
    </xf>
    <xf numFmtId="0" fontId="9" fillId="13" borderId="1" xfId="0" applyFont="1" applyFill="1" applyBorder="1"/>
    <xf numFmtId="164" fontId="12" fillId="11" borderId="1" xfId="0" applyNumberFormat="1" applyFont="1" applyFill="1" applyBorder="1" applyAlignment="1">
      <alignment horizontal="center" vertical="center"/>
    </xf>
    <xf numFmtId="0" fontId="9" fillId="11" borderId="1" xfId="0" applyFont="1" applyFill="1" applyBorder="1"/>
    <xf numFmtId="0" fontId="5" fillId="10" borderId="1" xfId="0" applyFont="1" applyFill="1" applyBorder="1" applyAlignment="1">
      <alignment horizontal="center" vertical="center"/>
    </xf>
  </cellXfs>
  <cellStyles count="4">
    <cellStyle name="Hiperlink" xfId="1" builtinId="8"/>
    <cellStyle name="Hyperlink 1" xfId="2" xr:uid="{00000000-0005-0000-0000-000006000000}"/>
    <cellStyle name="Normal" xfId="0" builtinId="0"/>
    <cellStyle name="Normal 2" xfId="3" xr:uid="{93E0CECF-4A07-4375-81B1-796F4EA2435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F9ED5"/>
      <rgbColor rgb="FFBFBFBF"/>
      <rgbColor rgb="FF808080"/>
      <rgbColor rgb="FF729FCF"/>
      <rgbColor rgb="FF993366"/>
      <rgbColor rgb="FFFFFFD7"/>
      <rgbColor rgb="FFC1E5F5"/>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EEEEEE"/>
      <rgbColor rgb="FFFFDBB6"/>
      <rgbColor rgb="FFFEFFDE"/>
      <rgbColor rgb="FF82CAEC"/>
      <rgbColor rgb="FFFF99CC"/>
      <rgbColor rgb="FFCC99FF"/>
      <rgbColor rgb="FFF6C7AD"/>
      <rgbColor rgb="FF3366FF"/>
      <rgbColor rgb="FF33CCCC"/>
      <rgbColor rgb="FF99CC00"/>
      <rgbColor rgb="FFFFCC00"/>
      <rgbColor rgb="FFFF9900"/>
      <rgbColor rgb="FFE87331"/>
      <rgbColor rgb="FF467886"/>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1725840</xdr:colOff>
      <xdr:row>0</xdr:row>
      <xdr:rowOff>57240</xdr:rowOff>
    </xdr:from>
    <xdr:to>
      <xdr:col>4</xdr:col>
      <xdr:colOff>105840</xdr:colOff>
      <xdr:row>0</xdr:row>
      <xdr:rowOff>1629720</xdr:rowOff>
    </xdr:to>
    <xdr:pic>
      <xdr:nvPicPr>
        <xdr:cNvPr id="9" name="Imagem 2">
          <a:extLst>
            <a:ext uri="{FF2B5EF4-FFF2-40B4-BE49-F238E27FC236}">
              <a16:creationId xmlns:a16="http://schemas.microsoft.com/office/drawing/2014/main" id="{00000000-0008-0000-1A00-000009000000}"/>
            </a:ext>
          </a:extLst>
        </xdr:cNvPr>
        <xdr:cNvPicPr/>
      </xdr:nvPicPr>
      <xdr:blipFill>
        <a:blip xmlns:r="http://schemas.openxmlformats.org/officeDocument/2006/relationships" r:embed="rId1"/>
        <a:stretch/>
      </xdr:blipFill>
      <xdr:spPr>
        <a:xfrm>
          <a:off x="2578680" y="57240"/>
          <a:ext cx="2808360" cy="1572480"/>
        </a:xfrm>
        <a:prstGeom prst="rect">
          <a:avLst/>
        </a:prstGeom>
        <a:ln w="0">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8" name="Imagem 1">
          <a:extLst>
            <a:ext uri="{FF2B5EF4-FFF2-40B4-BE49-F238E27FC236}">
              <a16:creationId xmlns:a16="http://schemas.microsoft.com/office/drawing/2014/main" id="{00000000-0008-0000-1900-000008000000}"/>
            </a:ext>
          </a:extLst>
        </xdr:cNvPr>
        <xdr:cNvPicPr/>
      </xdr:nvPicPr>
      <xdr:blipFill>
        <a:blip xmlns:r="http://schemas.openxmlformats.org/officeDocument/2006/relationships" r:embed="rId1"/>
        <a:stretch/>
      </xdr:blipFill>
      <xdr:spPr>
        <a:xfrm>
          <a:off x="2332440" y="66600"/>
          <a:ext cx="1992600" cy="10490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2">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1"/>
        <a:stretch/>
      </xdr:blipFill>
      <xdr:spPr>
        <a:xfrm>
          <a:off x="2332440" y="66600"/>
          <a:ext cx="1992600" cy="104904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1">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1"/>
        <a:stretch/>
      </xdr:blipFill>
      <xdr:spPr>
        <a:xfrm>
          <a:off x="2374920" y="66600"/>
          <a:ext cx="1992960" cy="104904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2" name="Imagem 1">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1"/>
        <a:stretch/>
      </xdr:blipFill>
      <xdr:spPr>
        <a:xfrm>
          <a:off x="2400840" y="66600"/>
          <a:ext cx="1992960" cy="104904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151920</xdr:rowOff>
    </xdr:to>
    <xdr:pic>
      <xdr:nvPicPr>
        <xdr:cNvPr id="3" name="Imagem 1">
          <a:extLst>
            <a:ext uri="{FF2B5EF4-FFF2-40B4-BE49-F238E27FC236}">
              <a16:creationId xmlns:a16="http://schemas.microsoft.com/office/drawing/2014/main" id="{00000000-0008-0000-1400-000003000000}"/>
            </a:ext>
          </a:extLst>
        </xdr:cNvPr>
        <xdr:cNvPicPr/>
      </xdr:nvPicPr>
      <xdr:blipFill>
        <a:blip xmlns:r="http://schemas.openxmlformats.org/officeDocument/2006/relationships" r:embed="rId1"/>
        <a:stretch/>
      </xdr:blipFill>
      <xdr:spPr>
        <a:xfrm>
          <a:off x="2332440" y="66600"/>
          <a:ext cx="1992600" cy="104724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151920</xdr:rowOff>
    </xdr:to>
    <xdr:pic>
      <xdr:nvPicPr>
        <xdr:cNvPr id="4" name="Imagem 1">
          <a:extLst>
            <a:ext uri="{FF2B5EF4-FFF2-40B4-BE49-F238E27FC236}">
              <a16:creationId xmlns:a16="http://schemas.microsoft.com/office/drawing/2014/main" id="{00000000-0008-0000-1500-000004000000}"/>
            </a:ext>
          </a:extLst>
        </xdr:cNvPr>
        <xdr:cNvPicPr/>
      </xdr:nvPicPr>
      <xdr:blipFill>
        <a:blip xmlns:r="http://schemas.openxmlformats.org/officeDocument/2006/relationships" r:embed="rId1"/>
        <a:stretch/>
      </xdr:blipFill>
      <xdr:spPr>
        <a:xfrm>
          <a:off x="2374920" y="66600"/>
          <a:ext cx="1992960" cy="104724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151920</xdr:rowOff>
    </xdr:to>
    <xdr:pic>
      <xdr:nvPicPr>
        <xdr:cNvPr id="5" name="Imagem 1">
          <a:extLst>
            <a:ext uri="{FF2B5EF4-FFF2-40B4-BE49-F238E27FC236}">
              <a16:creationId xmlns:a16="http://schemas.microsoft.com/office/drawing/2014/main" id="{00000000-0008-0000-1600-000005000000}"/>
            </a:ext>
          </a:extLst>
        </xdr:cNvPr>
        <xdr:cNvPicPr/>
      </xdr:nvPicPr>
      <xdr:blipFill>
        <a:blip xmlns:r="http://schemas.openxmlformats.org/officeDocument/2006/relationships" r:embed="rId1"/>
        <a:stretch/>
      </xdr:blipFill>
      <xdr:spPr>
        <a:xfrm>
          <a:off x="2332440" y="66600"/>
          <a:ext cx="1992600" cy="1047240"/>
        </a:xfrm>
        <a:prstGeom prst="rect">
          <a:avLst/>
        </a:prstGeom>
        <a:ln w="0">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6" name="Imagem 1">
          <a:extLst>
            <a:ext uri="{FF2B5EF4-FFF2-40B4-BE49-F238E27FC236}">
              <a16:creationId xmlns:a16="http://schemas.microsoft.com/office/drawing/2014/main" id="{00000000-0008-0000-1700-000006000000}"/>
            </a:ext>
          </a:extLst>
        </xdr:cNvPr>
        <xdr:cNvPicPr/>
      </xdr:nvPicPr>
      <xdr:blipFill>
        <a:blip xmlns:r="http://schemas.openxmlformats.org/officeDocument/2006/relationships" r:embed="rId1"/>
        <a:stretch/>
      </xdr:blipFill>
      <xdr:spPr>
        <a:xfrm>
          <a:off x="2332440" y="66600"/>
          <a:ext cx="1992600" cy="1049040"/>
        </a:xfrm>
        <a:prstGeom prst="rect">
          <a:avLst/>
        </a:prstGeom>
        <a:ln w="0">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1085400</xdr:colOff>
      <xdr:row>5</xdr:row>
      <xdr:rowOff>153720</xdr:rowOff>
    </xdr:to>
    <xdr:pic>
      <xdr:nvPicPr>
        <xdr:cNvPr id="7" name="Imagem 1">
          <a:extLst>
            <a:ext uri="{FF2B5EF4-FFF2-40B4-BE49-F238E27FC236}">
              <a16:creationId xmlns:a16="http://schemas.microsoft.com/office/drawing/2014/main" id="{00000000-0008-0000-1800-000007000000}"/>
            </a:ext>
          </a:extLst>
        </xdr:cNvPr>
        <xdr:cNvPicPr/>
      </xdr:nvPicPr>
      <xdr:blipFill>
        <a:blip xmlns:r="http://schemas.openxmlformats.org/officeDocument/2006/relationships" r:embed="rId1"/>
        <a:stretch/>
      </xdr:blipFill>
      <xdr:spPr>
        <a:xfrm>
          <a:off x="2332440" y="66600"/>
          <a:ext cx="1992600" cy="104904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3" Type="http://schemas.openxmlformats.org/officeDocument/2006/relationships/hyperlink" Target="http://normas.receita.fazenda.gov.br/sijut2consulta/link.action?idAto=81268" TargetMode="External"/><Relationship Id="rId2" Type="http://schemas.openxmlformats.org/officeDocument/2006/relationships/hyperlink" Target="http://normas.receita.fazenda.gov.br/sijut2consulta/link.action?idAto=81268" TargetMode="External"/><Relationship Id="rId1" Type="http://schemas.openxmlformats.org/officeDocument/2006/relationships/hyperlink" Target="http://normas.receita.fazenda.gov.br/sijut2consulta/link.action?idAto=81268"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hyperlink" Target="http://normas.receita.fazenda.gov.br/sijut2consulta/link.action?idAto=81268"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www.ocupacoes.com.br/cbo-mte/252305-secretaria-o-executiva-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www.ocupacoes.com.br/cbo-mte/422105-recepcionista-em-geral"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hyperlink" Target="https://www.ocupacoes.com.br/cbo-mte/513425-cop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hyperlink" Target="https://www.ocupacoes.com.br/cbo-mte/517110-bombeiro-civil"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hyperlink" Target="https://www.ocupacoes.com.br/cbo-mte/514320-faxin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2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hyperlink" Target="https://www.ocupacoes.com.br/cbo-mte/622010-jardin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76B21-71EB-480C-B7DF-66A705EE3F03}">
  <sheetPr>
    <pageSetUpPr fitToPage="1"/>
  </sheetPr>
  <dimension ref="A1:BL35"/>
  <sheetViews>
    <sheetView showGridLines="0" showRowColHeaders="0" tabSelected="1" view="pageBreakPreview" topLeftCell="A2" zoomScale="110" zoomScaleNormal="120" zoomScaleSheetLayoutView="110" zoomScalePageLayoutView="90" workbookViewId="0">
      <selection activeCell="H8" sqref="H8"/>
    </sheetView>
  </sheetViews>
  <sheetFormatPr defaultColWidth="8.88671875" defaultRowHeight="13.2" x14ac:dyDescent="0.25"/>
  <cols>
    <col min="1" max="1" width="7.6640625" style="183" customWidth="1"/>
    <col min="2" max="10" width="17.88671875" style="183" customWidth="1"/>
    <col min="11" max="64" width="11.6640625" style="183" customWidth="1"/>
    <col min="65" max="16384" width="8.88671875" style="183"/>
  </cols>
  <sheetData>
    <row r="1" spans="1:64" ht="12.75" customHeight="1" x14ac:dyDescent="0.25">
      <c r="A1" s="218" t="s">
        <v>755</v>
      </c>
      <c r="B1" s="218"/>
      <c r="C1" s="218"/>
      <c r="D1" s="218"/>
      <c r="E1" s="218"/>
      <c r="F1" s="218"/>
      <c r="G1" s="218"/>
      <c r="H1" s="218"/>
      <c r="I1" s="218"/>
      <c r="J1" s="218"/>
    </row>
    <row r="2" spans="1:64" ht="18" customHeight="1" x14ac:dyDescent="0.25">
      <c r="A2" s="218"/>
      <c r="B2" s="218"/>
      <c r="C2" s="218"/>
      <c r="D2" s="218"/>
      <c r="E2" s="218"/>
      <c r="F2" s="218"/>
      <c r="G2" s="218"/>
      <c r="H2" s="218"/>
      <c r="I2" s="218"/>
      <c r="J2" s="218"/>
    </row>
    <row r="4" spans="1:64" ht="17.399999999999999" x14ac:dyDescent="0.25">
      <c r="A4" s="219" t="s">
        <v>756</v>
      </c>
      <c r="B4" s="219"/>
      <c r="C4" s="219"/>
      <c r="D4" s="219"/>
      <c r="E4" s="219"/>
      <c r="F4" s="219"/>
      <c r="G4" s="219"/>
      <c r="H4" s="219"/>
      <c r="I4" s="219"/>
      <c r="J4" s="219"/>
    </row>
    <row r="8" spans="1:64" x14ac:dyDescent="0.25">
      <c r="A8" s="184"/>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c r="AW8" s="185"/>
      <c r="AX8" s="185"/>
      <c r="AY8" s="185"/>
      <c r="AZ8" s="185"/>
      <c r="BA8" s="185"/>
      <c r="BB8" s="185"/>
      <c r="BC8" s="185"/>
      <c r="BD8" s="185"/>
      <c r="BE8" s="185"/>
      <c r="BF8" s="185"/>
      <c r="BG8" s="185"/>
      <c r="BH8" s="185"/>
      <c r="BI8" s="185"/>
      <c r="BJ8" s="185"/>
      <c r="BK8" s="185"/>
      <c r="BL8" s="185"/>
    </row>
    <row r="9" spans="1:64" ht="12.75" customHeight="1" x14ac:dyDescent="0.25">
      <c r="A9" s="186">
        <v>1</v>
      </c>
      <c r="B9" s="217" t="s">
        <v>757</v>
      </c>
      <c r="C9" s="217"/>
      <c r="D9" s="217"/>
      <c r="E9" s="217"/>
      <c r="F9" s="217"/>
      <c r="G9" s="217"/>
      <c r="H9" s="217"/>
      <c r="I9" s="217"/>
      <c r="J9" s="217"/>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c r="AW9" s="185"/>
      <c r="AX9" s="185"/>
      <c r="AY9" s="185"/>
      <c r="AZ9" s="185"/>
      <c r="BA9" s="185"/>
      <c r="BB9" s="185"/>
      <c r="BC9" s="185"/>
      <c r="BD9" s="185"/>
      <c r="BE9" s="185"/>
      <c r="BF9" s="185"/>
      <c r="BG9" s="185"/>
      <c r="BH9" s="185"/>
      <c r="BI9" s="185"/>
      <c r="BJ9" s="185"/>
      <c r="BK9" s="185"/>
      <c r="BL9" s="185"/>
    </row>
    <row r="10" spans="1:64" x14ac:dyDescent="0.25">
      <c r="A10" s="188"/>
      <c r="B10" s="188"/>
      <c r="C10" s="188"/>
      <c r="D10" s="188"/>
      <c r="E10" s="188"/>
      <c r="F10" s="188"/>
      <c r="G10" s="188"/>
      <c r="H10" s="188"/>
      <c r="I10" s="188"/>
      <c r="J10" s="188"/>
    </row>
    <row r="11" spans="1:64" ht="24.6" customHeight="1" x14ac:dyDescent="0.25">
      <c r="A11" s="186">
        <v>2</v>
      </c>
      <c r="B11" s="217" t="s">
        <v>758</v>
      </c>
      <c r="C11" s="217"/>
      <c r="D11" s="217"/>
      <c r="E11" s="217"/>
      <c r="F11" s="217"/>
      <c r="G11" s="217"/>
      <c r="H11" s="217"/>
      <c r="I11" s="217"/>
      <c r="J11" s="217"/>
    </row>
    <row r="12" spans="1:64" x14ac:dyDescent="0.25">
      <c r="A12" s="186"/>
      <c r="B12" s="189"/>
      <c r="C12" s="189"/>
      <c r="D12" s="189"/>
      <c r="E12" s="190"/>
      <c r="F12" s="191"/>
      <c r="G12" s="191"/>
      <c r="H12" s="189"/>
      <c r="I12" s="191"/>
      <c r="J12" s="191"/>
    </row>
    <row r="13" spans="1:64" ht="24.6" customHeight="1" x14ac:dyDescent="0.25">
      <c r="A13" s="186">
        <v>3</v>
      </c>
      <c r="B13" s="217" t="s">
        <v>759</v>
      </c>
      <c r="C13" s="217"/>
      <c r="D13" s="217"/>
      <c r="E13" s="217"/>
      <c r="F13" s="217"/>
      <c r="G13" s="217"/>
      <c r="H13" s="217"/>
      <c r="I13" s="217"/>
      <c r="J13" s="217"/>
    </row>
    <row r="14" spans="1:64" x14ac:dyDescent="0.25">
      <c r="A14" s="186"/>
      <c r="B14" s="189"/>
      <c r="C14" s="189"/>
      <c r="D14" s="189"/>
      <c r="E14" s="190"/>
      <c r="F14" s="191"/>
      <c r="G14" s="191"/>
      <c r="H14" s="189"/>
      <c r="I14" s="191"/>
      <c r="J14" s="191"/>
    </row>
    <row r="15" spans="1:64" ht="24.6" customHeight="1" x14ac:dyDescent="0.25">
      <c r="A15" s="186">
        <v>4</v>
      </c>
      <c r="B15" s="217" t="s">
        <v>760</v>
      </c>
      <c r="C15" s="217"/>
      <c r="D15" s="217"/>
      <c r="E15" s="217"/>
      <c r="F15" s="217"/>
      <c r="G15" s="217"/>
      <c r="H15" s="217"/>
      <c r="I15" s="217"/>
      <c r="J15" s="217"/>
    </row>
    <row r="16" spans="1:64" x14ac:dyDescent="0.25">
      <c r="A16" s="186"/>
      <c r="B16" s="187"/>
      <c r="C16" s="187"/>
      <c r="D16" s="187"/>
      <c r="E16" s="187"/>
      <c r="F16" s="187"/>
      <c r="G16" s="187"/>
      <c r="H16" s="187"/>
      <c r="I16" s="187"/>
      <c r="J16" s="187"/>
    </row>
    <row r="17" spans="1:10" ht="12.9" customHeight="1" x14ac:dyDescent="0.25">
      <c r="A17" s="186">
        <v>5</v>
      </c>
      <c r="B17" s="217" t="s">
        <v>761</v>
      </c>
      <c r="C17" s="217"/>
      <c r="D17" s="217"/>
      <c r="E17" s="217"/>
      <c r="F17" s="217"/>
      <c r="G17" s="217"/>
      <c r="H17" s="217"/>
      <c r="I17" s="217"/>
      <c r="J17" s="217"/>
    </row>
    <row r="18" spans="1:10" x14ac:dyDescent="0.25">
      <c r="A18" s="186"/>
      <c r="B18" s="189"/>
      <c r="C18" s="189"/>
      <c r="D18" s="189"/>
      <c r="E18" s="190"/>
      <c r="F18" s="191"/>
      <c r="G18" s="191"/>
      <c r="H18" s="189"/>
      <c r="I18" s="191"/>
      <c r="J18" s="191"/>
    </row>
    <row r="19" spans="1:10" ht="45" customHeight="1" x14ac:dyDescent="0.25">
      <c r="A19" s="186">
        <v>6</v>
      </c>
      <c r="B19" s="217" t="s">
        <v>762</v>
      </c>
      <c r="C19" s="217"/>
      <c r="D19" s="217"/>
      <c r="E19" s="217"/>
      <c r="F19" s="217"/>
      <c r="G19" s="217"/>
      <c r="H19" s="217"/>
      <c r="I19" s="217"/>
      <c r="J19" s="217"/>
    </row>
    <row r="20" spans="1:10" x14ac:dyDescent="0.25">
      <c r="A20" s="186"/>
      <c r="B20" s="187"/>
      <c r="C20" s="187"/>
      <c r="D20" s="187"/>
      <c r="E20" s="187"/>
      <c r="F20" s="187"/>
      <c r="G20" s="187"/>
      <c r="H20" s="187"/>
      <c r="I20" s="187"/>
      <c r="J20" s="187"/>
    </row>
    <row r="21" spans="1:10" ht="30.75" customHeight="1" x14ac:dyDescent="0.25">
      <c r="A21" s="192">
        <v>7</v>
      </c>
      <c r="B21" s="217" t="s">
        <v>763</v>
      </c>
      <c r="C21" s="217"/>
      <c r="D21" s="217"/>
      <c r="E21" s="217"/>
      <c r="F21" s="217"/>
      <c r="G21" s="217"/>
      <c r="H21" s="217"/>
      <c r="I21" s="217"/>
      <c r="J21" s="217"/>
    </row>
    <row r="23" spans="1:10" ht="27.75" customHeight="1" x14ac:dyDescent="0.25">
      <c r="A23" s="186">
        <v>8</v>
      </c>
      <c r="B23" s="217" t="s">
        <v>764</v>
      </c>
      <c r="C23" s="217"/>
      <c r="D23" s="217"/>
      <c r="E23" s="217"/>
      <c r="F23" s="217"/>
      <c r="G23" s="217"/>
      <c r="H23" s="217"/>
      <c r="I23" s="217"/>
      <c r="J23" s="217"/>
    </row>
    <row r="24" spans="1:10" ht="10.5" customHeight="1" x14ac:dyDescent="0.25"/>
    <row r="25" spans="1:10" ht="26.25" customHeight="1" x14ac:dyDescent="0.25">
      <c r="A25" s="186"/>
      <c r="B25" s="217"/>
      <c r="C25" s="217"/>
      <c r="D25" s="217"/>
      <c r="E25" s="217"/>
      <c r="F25" s="217"/>
      <c r="G25" s="217"/>
      <c r="H25" s="217"/>
      <c r="I25" s="217"/>
      <c r="J25" s="217"/>
    </row>
    <row r="26" spans="1:10" ht="14.25" customHeight="1" x14ac:dyDescent="0.25"/>
    <row r="27" spans="1:10" ht="39.75" customHeight="1" x14ac:dyDescent="0.25">
      <c r="A27" s="186"/>
      <c r="B27" s="217"/>
      <c r="C27" s="217"/>
      <c r="D27" s="217"/>
      <c r="E27" s="217"/>
      <c r="F27" s="217"/>
      <c r="G27" s="217"/>
      <c r="H27" s="217"/>
      <c r="I27" s="217"/>
      <c r="J27" s="217"/>
    </row>
    <row r="29" spans="1:10" x14ac:dyDescent="0.25">
      <c r="A29" s="186"/>
      <c r="B29" s="217"/>
      <c r="C29" s="217"/>
      <c r="D29" s="217"/>
      <c r="E29" s="217"/>
      <c r="F29" s="217"/>
      <c r="G29" s="217"/>
      <c r="H29" s="217"/>
      <c r="I29" s="217"/>
      <c r="J29" s="217"/>
    </row>
    <row r="31" spans="1:10" ht="30" customHeight="1" x14ac:dyDescent="0.25">
      <c r="A31" s="186"/>
      <c r="B31" s="217"/>
      <c r="C31" s="217"/>
      <c r="D31" s="217"/>
      <c r="E31" s="217"/>
      <c r="F31" s="217"/>
      <c r="G31" s="217"/>
      <c r="H31" s="217"/>
      <c r="I31" s="217"/>
      <c r="J31" s="217"/>
    </row>
    <row r="33" spans="1:10" ht="35.25" customHeight="1" x14ac:dyDescent="0.25">
      <c r="A33" s="186"/>
      <c r="B33" s="220"/>
      <c r="C33" s="220"/>
      <c r="D33" s="220"/>
      <c r="E33" s="220"/>
      <c r="F33" s="220"/>
      <c r="G33" s="220"/>
      <c r="H33" s="220"/>
      <c r="I33" s="220"/>
      <c r="J33" s="220"/>
    </row>
    <row r="35" spans="1:10" x14ac:dyDescent="0.25">
      <c r="A35" s="186"/>
      <c r="B35" s="221"/>
      <c r="C35" s="221"/>
      <c r="D35" s="221"/>
      <c r="E35" s="221"/>
      <c r="F35" s="221"/>
      <c r="G35" s="221"/>
      <c r="H35" s="221"/>
      <c r="I35" s="221"/>
      <c r="J35" s="221"/>
    </row>
  </sheetData>
  <mergeCells count="16">
    <mergeCell ref="B29:J29"/>
    <mergeCell ref="B31:J31"/>
    <mergeCell ref="B33:J33"/>
    <mergeCell ref="B35:J35"/>
    <mergeCell ref="B17:J17"/>
    <mergeCell ref="B19:J19"/>
    <mergeCell ref="B21:J21"/>
    <mergeCell ref="B23:J23"/>
    <mergeCell ref="B25:J25"/>
    <mergeCell ref="B27:J27"/>
    <mergeCell ref="B15:J15"/>
    <mergeCell ref="A1:J2"/>
    <mergeCell ref="A4:J4"/>
    <mergeCell ref="B9:J9"/>
    <mergeCell ref="B11:J11"/>
    <mergeCell ref="B13:J13"/>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5"/>
  <sheetViews>
    <sheetView zoomScale="110" zoomScaleNormal="110" workbookViewId="0">
      <selection activeCell="D77" sqref="D77"/>
    </sheetView>
  </sheetViews>
  <sheetFormatPr defaultColWidth="8.6640625" defaultRowHeight="14.4" x14ac:dyDescent="0.3"/>
  <cols>
    <col min="2" max="2" width="57.109375" customWidth="1"/>
    <col min="3" max="3" width="34.33203125" customWidth="1"/>
    <col min="4" max="4" width="15" customWidth="1"/>
    <col min="5" max="5" width="10.44140625" customWidth="1"/>
    <col min="6" max="6" width="8.109375" customWidth="1"/>
    <col min="7" max="7" width="15.33203125" customWidth="1"/>
  </cols>
  <sheetData>
    <row r="1" spans="1:7" x14ac:dyDescent="0.3">
      <c r="A1" s="249" t="s">
        <v>216</v>
      </c>
      <c r="B1" s="249"/>
      <c r="C1" s="249"/>
      <c r="D1" s="249"/>
      <c r="E1" s="249"/>
      <c r="F1" s="249"/>
      <c r="G1" s="249"/>
    </row>
    <row r="2" spans="1:7" s="53" customFormat="1" ht="33" customHeight="1" x14ac:dyDescent="0.25">
      <c r="A2" s="52" t="s">
        <v>1</v>
      </c>
      <c r="B2" s="52" t="s">
        <v>127</v>
      </c>
      <c r="C2" s="52" t="s">
        <v>110</v>
      </c>
      <c r="D2" s="52" t="s">
        <v>128</v>
      </c>
      <c r="E2" s="39" t="s">
        <v>100</v>
      </c>
      <c r="F2" s="39" t="s">
        <v>129</v>
      </c>
      <c r="G2" s="39" t="s">
        <v>112</v>
      </c>
    </row>
    <row r="3" spans="1:7" s="53" customFormat="1" ht="19.5" customHeight="1" x14ac:dyDescent="0.25">
      <c r="A3" s="40">
        <f>ROW()-2</f>
        <v>1</v>
      </c>
      <c r="B3" s="41" t="s">
        <v>217</v>
      </c>
      <c r="C3" s="40" t="s">
        <v>218</v>
      </c>
      <c r="D3" s="196">
        <v>11.56</v>
      </c>
      <c r="E3" s="54">
        <v>42</v>
      </c>
      <c r="F3" s="42"/>
      <c r="G3" s="55">
        <f t="shared" ref="G3:G34" si="0">TRUNC((D3*E3),2)</f>
        <v>485.52</v>
      </c>
    </row>
    <row r="4" spans="1:7" s="53" customFormat="1" ht="19.5" customHeight="1" x14ac:dyDescent="0.25">
      <c r="A4" s="40">
        <v>2</v>
      </c>
      <c r="B4" s="41" t="s">
        <v>219</v>
      </c>
      <c r="C4" s="40" t="s">
        <v>220</v>
      </c>
      <c r="D4" s="196">
        <v>9.7100000000000009</v>
      </c>
      <c r="E4" s="54">
        <v>120</v>
      </c>
      <c r="F4" s="42"/>
      <c r="G4" s="55">
        <f t="shared" si="0"/>
        <v>1165.2</v>
      </c>
    </row>
    <row r="5" spans="1:7" s="53" customFormat="1" ht="19.5" customHeight="1" x14ac:dyDescent="0.25">
      <c r="A5" s="40">
        <v>3</v>
      </c>
      <c r="B5" s="41" t="s">
        <v>221</v>
      </c>
      <c r="C5" s="40" t="s">
        <v>220</v>
      </c>
      <c r="D5" s="196">
        <v>28.82</v>
      </c>
      <c r="E5" s="54">
        <v>12</v>
      </c>
      <c r="F5" s="42"/>
      <c r="G5" s="55">
        <f t="shared" si="0"/>
        <v>345.84</v>
      </c>
    </row>
    <row r="6" spans="1:7" s="53" customFormat="1" ht="19.5" customHeight="1" x14ac:dyDescent="0.25">
      <c r="A6" s="40">
        <v>4</v>
      </c>
      <c r="B6" s="41" t="s">
        <v>222</v>
      </c>
      <c r="C6" s="40" t="s">
        <v>220</v>
      </c>
      <c r="D6" s="196">
        <v>46.23</v>
      </c>
      <c r="E6" s="42"/>
      <c r="F6" s="54" t="s">
        <v>154</v>
      </c>
      <c r="G6" s="55">
        <f t="shared" si="0"/>
        <v>0</v>
      </c>
    </row>
    <row r="7" spans="1:7" s="53" customFormat="1" ht="19.5" customHeight="1" x14ac:dyDescent="0.25">
      <c r="A7" s="40">
        <v>5</v>
      </c>
      <c r="B7" s="41" t="s">
        <v>223</v>
      </c>
      <c r="C7" s="40" t="s">
        <v>224</v>
      </c>
      <c r="D7" s="196">
        <v>9.7799999999999994</v>
      </c>
      <c r="E7" s="54"/>
      <c r="F7" s="42" t="s">
        <v>154</v>
      </c>
      <c r="G7" s="55">
        <f t="shared" si="0"/>
        <v>0</v>
      </c>
    </row>
    <row r="8" spans="1:7" s="53" customFormat="1" ht="19.5" customHeight="1" x14ac:dyDescent="0.25">
      <c r="A8" s="40">
        <v>6</v>
      </c>
      <c r="B8" s="41" t="s">
        <v>225</v>
      </c>
      <c r="C8" s="40" t="s">
        <v>134</v>
      </c>
      <c r="D8" s="196">
        <v>21.32</v>
      </c>
      <c r="E8" s="54">
        <v>5</v>
      </c>
      <c r="F8" s="42"/>
      <c r="G8" s="55">
        <f t="shared" si="0"/>
        <v>106.6</v>
      </c>
    </row>
    <row r="9" spans="1:7" s="53" customFormat="1" ht="19.5" customHeight="1" x14ac:dyDescent="0.25">
      <c r="A9" s="40">
        <v>7</v>
      </c>
      <c r="B9" s="41" t="s">
        <v>226</v>
      </c>
      <c r="C9" s="40" t="s">
        <v>134</v>
      </c>
      <c r="D9" s="196">
        <v>45.5</v>
      </c>
      <c r="E9" s="54">
        <v>5</v>
      </c>
      <c r="F9" s="42"/>
      <c r="G9" s="55">
        <f t="shared" si="0"/>
        <v>227.5</v>
      </c>
    </row>
    <row r="10" spans="1:7" s="53" customFormat="1" ht="19.5" customHeight="1" x14ac:dyDescent="0.25">
      <c r="A10" s="40">
        <v>8</v>
      </c>
      <c r="B10" s="41" t="s">
        <v>227</v>
      </c>
      <c r="C10" s="40" t="s">
        <v>134</v>
      </c>
      <c r="D10" s="196">
        <v>22.32</v>
      </c>
      <c r="E10" s="54">
        <v>5</v>
      </c>
      <c r="F10" s="42"/>
      <c r="G10" s="55">
        <f t="shared" si="0"/>
        <v>111.6</v>
      </c>
    </row>
    <row r="11" spans="1:7" s="53" customFormat="1" ht="19.5" customHeight="1" x14ac:dyDescent="0.25">
      <c r="A11" s="40">
        <v>9</v>
      </c>
      <c r="B11" s="41" t="s">
        <v>228</v>
      </c>
      <c r="C11" s="40" t="s">
        <v>131</v>
      </c>
      <c r="D11" s="196">
        <v>50.02</v>
      </c>
      <c r="E11" s="42"/>
      <c r="F11" s="54" t="s">
        <v>154</v>
      </c>
      <c r="G11" s="55">
        <f t="shared" si="0"/>
        <v>0</v>
      </c>
    </row>
    <row r="12" spans="1:7" s="53" customFormat="1" ht="19.5" customHeight="1" x14ac:dyDescent="0.25">
      <c r="A12" s="40">
        <v>10</v>
      </c>
      <c r="B12" s="41" t="s">
        <v>229</v>
      </c>
      <c r="C12" s="40" t="s">
        <v>131</v>
      </c>
      <c r="D12" s="196">
        <v>57.32</v>
      </c>
      <c r="E12" s="42"/>
      <c r="F12" s="54" t="s">
        <v>154</v>
      </c>
      <c r="G12" s="55">
        <f t="shared" si="0"/>
        <v>0</v>
      </c>
    </row>
    <row r="13" spans="1:7" s="53" customFormat="1" ht="19.5" customHeight="1" x14ac:dyDescent="0.25">
      <c r="A13" s="40">
        <v>11</v>
      </c>
      <c r="B13" s="41" t="s">
        <v>230</v>
      </c>
      <c r="C13" s="40" t="s">
        <v>134</v>
      </c>
      <c r="D13" s="196">
        <v>27.61</v>
      </c>
      <c r="E13" s="54">
        <v>2</v>
      </c>
      <c r="F13" s="42"/>
      <c r="G13" s="55">
        <f t="shared" si="0"/>
        <v>55.22</v>
      </c>
    </row>
    <row r="14" spans="1:7" s="53" customFormat="1" ht="19.5" customHeight="1" x14ac:dyDescent="0.25">
      <c r="A14" s="40">
        <v>12</v>
      </c>
      <c r="B14" s="41" t="s">
        <v>231</v>
      </c>
      <c r="C14" s="40" t="s">
        <v>232</v>
      </c>
      <c r="D14" s="196">
        <v>2.0499999999999998</v>
      </c>
      <c r="E14" s="54">
        <v>2</v>
      </c>
      <c r="F14" s="42"/>
      <c r="G14" s="55">
        <f t="shared" si="0"/>
        <v>4.0999999999999996</v>
      </c>
    </row>
    <row r="15" spans="1:7" s="53" customFormat="1" ht="19.5" customHeight="1" x14ac:dyDescent="0.25">
      <c r="A15" s="40">
        <v>13</v>
      </c>
      <c r="B15" s="41" t="s">
        <v>233</v>
      </c>
      <c r="C15" s="40" t="s">
        <v>134</v>
      </c>
      <c r="D15" s="196">
        <v>9.02</v>
      </c>
      <c r="E15" s="54">
        <v>1</v>
      </c>
      <c r="F15" s="42"/>
      <c r="G15" s="55">
        <f t="shared" si="0"/>
        <v>9.02</v>
      </c>
    </row>
    <row r="16" spans="1:7" s="53" customFormat="1" ht="19.5" customHeight="1" x14ac:dyDescent="0.25">
      <c r="A16" s="40">
        <v>14</v>
      </c>
      <c r="B16" s="41" t="s">
        <v>234</v>
      </c>
      <c r="C16" s="40" t="s">
        <v>134</v>
      </c>
      <c r="D16" s="196">
        <v>10.050000000000001</v>
      </c>
      <c r="E16" s="54">
        <v>1</v>
      </c>
      <c r="F16" s="42"/>
      <c r="G16" s="55">
        <f t="shared" si="0"/>
        <v>10.050000000000001</v>
      </c>
    </row>
    <row r="17" spans="1:7" s="53" customFormat="1" ht="19.5" customHeight="1" x14ac:dyDescent="0.25">
      <c r="A17" s="40">
        <v>15</v>
      </c>
      <c r="B17" s="41" t="s">
        <v>235</v>
      </c>
      <c r="C17" s="40" t="s">
        <v>218</v>
      </c>
      <c r="D17" s="196">
        <v>13.92</v>
      </c>
      <c r="E17" s="54">
        <v>48</v>
      </c>
      <c r="F17" s="42"/>
      <c r="G17" s="55">
        <f t="shared" si="0"/>
        <v>668.16</v>
      </c>
    </row>
    <row r="18" spans="1:7" s="53" customFormat="1" ht="19.5" customHeight="1" x14ac:dyDescent="0.25">
      <c r="A18" s="40">
        <v>16</v>
      </c>
      <c r="B18" s="41" t="s">
        <v>236</v>
      </c>
      <c r="C18" s="40" t="s">
        <v>131</v>
      </c>
      <c r="D18" s="196">
        <v>11.38</v>
      </c>
      <c r="E18" s="54">
        <v>120</v>
      </c>
      <c r="F18" s="42"/>
      <c r="G18" s="55">
        <f t="shared" si="0"/>
        <v>1365.6</v>
      </c>
    </row>
    <row r="19" spans="1:7" s="53" customFormat="1" ht="19.5" customHeight="1" x14ac:dyDescent="0.25">
      <c r="A19" s="40">
        <v>17</v>
      </c>
      <c r="B19" s="41" t="s">
        <v>237</v>
      </c>
      <c r="C19" s="40" t="s">
        <v>134</v>
      </c>
      <c r="D19" s="196">
        <v>24.71</v>
      </c>
      <c r="E19" s="42"/>
      <c r="F19" s="54" t="s">
        <v>154</v>
      </c>
      <c r="G19" s="55">
        <f t="shared" si="0"/>
        <v>0</v>
      </c>
    </row>
    <row r="20" spans="1:7" s="53" customFormat="1" ht="19.5" customHeight="1" x14ac:dyDescent="0.25">
      <c r="A20" s="40">
        <v>18</v>
      </c>
      <c r="B20" s="56" t="s">
        <v>238</v>
      </c>
      <c r="C20" s="40" t="s">
        <v>134</v>
      </c>
      <c r="D20" s="196">
        <v>26.21</v>
      </c>
      <c r="E20" s="54">
        <v>1</v>
      </c>
      <c r="F20" s="42"/>
      <c r="G20" s="55">
        <f t="shared" si="0"/>
        <v>26.21</v>
      </c>
    </row>
    <row r="21" spans="1:7" s="53" customFormat="1" ht="19.5" customHeight="1" x14ac:dyDescent="0.25">
      <c r="A21" s="40">
        <v>19</v>
      </c>
      <c r="B21" s="57" t="s">
        <v>239</v>
      </c>
      <c r="C21" s="40" t="s">
        <v>134</v>
      </c>
      <c r="D21" s="196">
        <v>36.65</v>
      </c>
      <c r="E21" s="54">
        <v>1</v>
      </c>
      <c r="F21" s="42"/>
      <c r="G21" s="55">
        <f t="shared" si="0"/>
        <v>36.65</v>
      </c>
    </row>
    <row r="22" spans="1:7" s="53" customFormat="1" ht="19.5" customHeight="1" x14ac:dyDescent="0.25">
      <c r="A22" s="40">
        <v>20</v>
      </c>
      <c r="B22" s="41" t="s">
        <v>240</v>
      </c>
      <c r="C22" s="40" t="s">
        <v>134</v>
      </c>
      <c r="D22" s="196">
        <v>14.62</v>
      </c>
      <c r="E22" s="42"/>
      <c r="F22" s="54" t="s">
        <v>154</v>
      </c>
      <c r="G22" s="55">
        <f t="shared" si="0"/>
        <v>0</v>
      </c>
    </row>
    <row r="23" spans="1:7" s="53" customFormat="1" ht="19.5" customHeight="1" x14ac:dyDescent="0.25">
      <c r="A23" s="40">
        <v>21</v>
      </c>
      <c r="B23" s="41" t="s">
        <v>241</v>
      </c>
      <c r="C23" s="40" t="s">
        <v>134</v>
      </c>
      <c r="D23" s="196">
        <v>2.82</v>
      </c>
      <c r="E23" s="42"/>
      <c r="F23" s="54" t="s">
        <v>154</v>
      </c>
      <c r="G23" s="55">
        <f t="shared" si="0"/>
        <v>0</v>
      </c>
    </row>
    <row r="24" spans="1:7" s="53" customFormat="1" ht="19.5" customHeight="1" x14ac:dyDescent="0.25">
      <c r="A24" s="40">
        <v>22</v>
      </c>
      <c r="B24" s="41" t="s">
        <v>242</v>
      </c>
      <c r="C24" s="40" t="s">
        <v>134</v>
      </c>
      <c r="D24" s="196">
        <v>6.37</v>
      </c>
      <c r="E24" s="54">
        <v>5</v>
      </c>
      <c r="F24" s="42"/>
      <c r="G24" s="55">
        <f t="shared" si="0"/>
        <v>31.85</v>
      </c>
    </row>
    <row r="25" spans="1:7" s="53" customFormat="1" ht="19.5" customHeight="1" x14ac:dyDescent="0.25">
      <c r="A25" s="40">
        <v>23</v>
      </c>
      <c r="B25" s="41" t="s">
        <v>243</v>
      </c>
      <c r="C25" s="40" t="s">
        <v>134</v>
      </c>
      <c r="D25" s="196">
        <v>9.33</v>
      </c>
      <c r="E25" s="54">
        <v>5</v>
      </c>
      <c r="F25" s="42"/>
      <c r="G25" s="55">
        <f t="shared" si="0"/>
        <v>46.65</v>
      </c>
    </row>
    <row r="26" spans="1:7" s="53" customFormat="1" ht="19.5" customHeight="1" x14ac:dyDescent="0.25">
      <c r="A26" s="40">
        <v>24</v>
      </c>
      <c r="B26" s="41" t="s">
        <v>244</v>
      </c>
      <c r="C26" s="40" t="s">
        <v>134</v>
      </c>
      <c r="D26" s="196">
        <v>8.08</v>
      </c>
      <c r="E26" s="54">
        <v>5</v>
      </c>
      <c r="F26" s="42"/>
      <c r="G26" s="55">
        <f t="shared" si="0"/>
        <v>40.4</v>
      </c>
    </row>
    <row r="27" spans="1:7" s="53" customFormat="1" ht="19.5" customHeight="1" x14ac:dyDescent="0.25">
      <c r="A27" s="40">
        <v>25</v>
      </c>
      <c r="B27" s="41" t="s">
        <v>245</v>
      </c>
      <c r="C27" s="40" t="s">
        <v>134</v>
      </c>
      <c r="D27" s="196">
        <v>1.43</v>
      </c>
      <c r="E27" s="54">
        <v>60</v>
      </c>
      <c r="F27" s="42"/>
      <c r="G27" s="55">
        <f t="shared" si="0"/>
        <v>85.8</v>
      </c>
    </row>
    <row r="28" spans="1:7" s="53" customFormat="1" ht="19.5" customHeight="1" x14ac:dyDescent="0.25">
      <c r="A28" s="40">
        <v>26</v>
      </c>
      <c r="B28" s="41" t="s">
        <v>246</v>
      </c>
      <c r="C28" s="40" t="s">
        <v>134</v>
      </c>
      <c r="D28" s="196">
        <v>27.42</v>
      </c>
      <c r="E28" s="54">
        <v>1</v>
      </c>
      <c r="F28" s="42"/>
      <c r="G28" s="55">
        <f t="shared" si="0"/>
        <v>27.42</v>
      </c>
    </row>
    <row r="29" spans="1:7" s="53" customFormat="1" ht="19.5" customHeight="1" x14ac:dyDescent="0.25">
      <c r="A29" s="40">
        <v>27</v>
      </c>
      <c r="B29" s="41" t="s">
        <v>247</v>
      </c>
      <c r="C29" s="40" t="s">
        <v>134</v>
      </c>
      <c r="D29" s="196">
        <v>66.930000000000007</v>
      </c>
      <c r="E29" s="54">
        <v>1</v>
      </c>
      <c r="F29" s="42"/>
      <c r="G29" s="55">
        <f t="shared" si="0"/>
        <v>66.930000000000007</v>
      </c>
    </row>
    <row r="30" spans="1:7" s="53" customFormat="1" ht="19.5" customHeight="1" x14ac:dyDescent="0.25">
      <c r="A30" s="40">
        <v>28</v>
      </c>
      <c r="B30" s="41" t="s">
        <v>248</v>
      </c>
      <c r="C30" s="40" t="s">
        <v>171</v>
      </c>
      <c r="D30" s="196">
        <v>2.61</v>
      </c>
      <c r="E30" s="54">
        <v>5</v>
      </c>
      <c r="F30" s="42"/>
      <c r="G30" s="55">
        <f t="shared" si="0"/>
        <v>13.05</v>
      </c>
    </row>
    <row r="31" spans="1:7" s="53" customFormat="1" ht="19.5" customHeight="1" x14ac:dyDescent="0.25">
      <c r="A31" s="40">
        <v>29</v>
      </c>
      <c r="B31" s="58" t="s">
        <v>249</v>
      </c>
      <c r="C31" s="40" t="s">
        <v>134</v>
      </c>
      <c r="D31" s="196">
        <v>3.43</v>
      </c>
      <c r="E31" s="54">
        <v>12</v>
      </c>
      <c r="F31" s="42"/>
      <c r="G31" s="55">
        <f t="shared" si="0"/>
        <v>41.16</v>
      </c>
    </row>
    <row r="32" spans="1:7" s="53" customFormat="1" ht="19.5" customHeight="1" x14ac:dyDescent="0.25">
      <c r="A32" s="40">
        <v>30</v>
      </c>
      <c r="B32" s="41" t="s">
        <v>250</v>
      </c>
      <c r="C32" s="40" t="s">
        <v>218</v>
      </c>
      <c r="D32" s="196">
        <v>87.5</v>
      </c>
      <c r="E32" s="42"/>
      <c r="F32" s="54" t="s">
        <v>154</v>
      </c>
      <c r="G32" s="55">
        <f t="shared" si="0"/>
        <v>0</v>
      </c>
    </row>
    <row r="33" spans="1:7" s="53" customFormat="1" ht="19.5" customHeight="1" x14ac:dyDescent="0.25">
      <c r="A33" s="40">
        <v>31</v>
      </c>
      <c r="B33" s="41" t="s">
        <v>251</v>
      </c>
      <c r="C33" s="40" t="s">
        <v>131</v>
      </c>
      <c r="D33" s="196">
        <v>13.29</v>
      </c>
      <c r="E33" s="54">
        <v>14</v>
      </c>
      <c r="F33" s="42"/>
      <c r="G33" s="55">
        <f t="shared" si="0"/>
        <v>186.06</v>
      </c>
    </row>
    <row r="34" spans="1:7" s="53" customFormat="1" ht="19.5" customHeight="1" x14ac:dyDescent="0.25">
      <c r="A34" s="40">
        <v>32</v>
      </c>
      <c r="B34" s="41" t="s">
        <v>252</v>
      </c>
      <c r="C34" s="40" t="s">
        <v>134</v>
      </c>
      <c r="D34" s="196">
        <v>36.17</v>
      </c>
      <c r="E34" s="54">
        <v>5</v>
      </c>
      <c r="F34" s="42"/>
      <c r="G34" s="55">
        <f t="shared" si="0"/>
        <v>180.85</v>
      </c>
    </row>
    <row r="35" spans="1:7" s="53" customFormat="1" ht="19.5" customHeight="1" x14ac:dyDescent="0.25">
      <c r="A35" s="40">
        <v>33</v>
      </c>
      <c r="B35" s="41" t="s">
        <v>253</v>
      </c>
      <c r="C35" s="40" t="s">
        <v>131</v>
      </c>
      <c r="D35" s="196">
        <v>2.17</v>
      </c>
      <c r="E35" s="42"/>
      <c r="F35" s="54" t="s">
        <v>154</v>
      </c>
      <c r="G35" s="55">
        <f t="shared" ref="G35:G66" si="1">TRUNC((D35*E35),2)</f>
        <v>0</v>
      </c>
    </row>
    <row r="36" spans="1:7" s="53" customFormat="1" ht="19.5" customHeight="1" x14ac:dyDescent="0.25">
      <c r="A36" s="40">
        <v>34</v>
      </c>
      <c r="B36" s="41" t="s">
        <v>254</v>
      </c>
      <c r="C36" s="40" t="s">
        <v>131</v>
      </c>
      <c r="D36" s="196">
        <v>2.3199999999999998</v>
      </c>
      <c r="E36" s="54">
        <v>144</v>
      </c>
      <c r="F36" s="42"/>
      <c r="G36" s="55">
        <f t="shared" si="1"/>
        <v>334.08</v>
      </c>
    </row>
    <row r="37" spans="1:7" s="53" customFormat="1" ht="19.5" customHeight="1" x14ac:dyDescent="0.25">
      <c r="A37" s="40">
        <v>35</v>
      </c>
      <c r="B37" s="41" t="s">
        <v>255</v>
      </c>
      <c r="C37" s="40" t="s">
        <v>218</v>
      </c>
      <c r="D37" s="196">
        <v>66.540000000000006</v>
      </c>
      <c r="E37" s="42"/>
      <c r="F37" s="54" t="s">
        <v>154</v>
      </c>
      <c r="G37" s="55">
        <f t="shared" si="1"/>
        <v>0</v>
      </c>
    </row>
    <row r="38" spans="1:7" s="53" customFormat="1" ht="19.5" customHeight="1" x14ac:dyDescent="0.25">
      <c r="A38" s="40">
        <v>36</v>
      </c>
      <c r="B38" s="41" t="s">
        <v>256</v>
      </c>
      <c r="C38" s="40" t="s">
        <v>131</v>
      </c>
      <c r="D38" s="196">
        <v>7.83</v>
      </c>
      <c r="E38" s="42"/>
      <c r="F38" s="54" t="s">
        <v>154</v>
      </c>
      <c r="G38" s="55">
        <f t="shared" si="1"/>
        <v>0</v>
      </c>
    </row>
    <row r="39" spans="1:7" s="53" customFormat="1" ht="19.5" customHeight="1" x14ac:dyDescent="0.25">
      <c r="A39" s="40">
        <v>37</v>
      </c>
      <c r="B39" s="41" t="s">
        <v>257</v>
      </c>
      <c r="C39" s="40" t="s">
        <v>131</v>
      </c>
      <c r="D39" s="196">
        <v>2.2000000000000002</v>
      </c>
      <c r="E39" s="54">
        <v>144</v>
      </c>
      <c r="F39" s="42"/>
      <c r="G39" s="55">
        <f t="shared" si="1"/>
        <v>316.8</v>
      </c>
    </row>
    <row r="40" spans="1:7" s="53" customFormat="1" ht="19.5" customHeight="1" x14ac:dyDescent="0.25">
      <c r="A40" s="40">
        <v>38</v>
      </c>
      <c r="B40" s="41" t="s">
        <v>258</v>
      </c>
      <c r="C40" s="40" t="s">
        <v>131</v>
      </c>
      <c r="D40" s="196">
        <v>4.13</v>
      </c>
      <c r="E40" s="54">
        <v>120</v>
      </c>
      <c r="F40" s="42"/>
      <c r="G40" s="55">
        <f t="shared" si="1"/>
        <v>495.6</v>
      </c>
    </row>
    <row r="41" spans="1:7" s="53" customFormat="1" ht="19.5" customHeight="1" x14ac:dyDescent="0.25">
      <c r="A41" s="40">
        <v>39</v>
      </c>
      <c r="B41" s="41" t="s">
        <v>259</v>
      </c>
      <c r="C41" s="40" t="s">
        <v>134</v>
      </c>
      <c r="D41" s="196">
        <v>56.13</v>
      </c>
      <c r="E41" s="42"/>
      <c r="F41" s="54" t="s">
        <v>154</v>
      </c>
      <c r="G41" s="55">
        <f t="shared" si="1"/>
        <v>0</v>
      </c>
    </row>
    <row r="42" spans="1:7" s="53" customFormat="1" ht="19.5" customHeight="1" x14ac:dyDescent="0.25">
      <c r="A42" s="40">
        <v>40</v>
      </c>
      <c r="B42" s="41" t="s">
        <v>260</v>
      </c>
      <c r="C42" s="40" t="s">
        <v>134</v>
      </c>
      <c r="D42" s="196">
        <v>22.81</v>
      </c>
      <c r="E42" s="42"/>
      <c r="F42" s="54" t="s">
        <v>154</v>
      </c>
      <c r="G42" s="55">
        <f t="shared" si="1"/>
        <v>0</v>
      </c>
    </row>
    <row r="43" spans="1:7" s="53" customFormat="1" ht="19.5" customHeight="1" x14ac:dyDescent="0.25">
      <c r="A43" s="40">
        <v>41</v>
      </c>
      <c r="B43" s="41" t="s">
        <v>261</v>
      </c>
      <c r="C43" s="40" t="s">
        <v>134</v>
      </c>
      <c r="D43" s="196">
        <v>26.86</v>
      </c>
      <c r="E43" s="42"/>
      <c r="F43" s="54" t="s">
        <v>154</v>
      </c>
      <c r="G43" s="55">
        <f t="shared" si="1"/>
        <v>0</v>
      </c>
    </row>
    <row r="44" spans="1:7" s="53" customFormat="1" ht="19.5" customHeight="1" x14ac:dyDescent="0.25">
      <c r="A44" s="40">
        <v>42</v>
      </c>
      <c r="B44" s="41" t="s">
        <v>262</v>
      </c>
      <c r="C44" s="40" t="s">
        <v>134</v>
      </c>
      <c r="D44" s="196">
        <v>47.27</v>
      </c>
      <c r="E44" s="42"/>
      <c r="F44" s="54" t="s">
        <v>154</v>
      </c>
      <c r="G44" s="55">
        <f t="shared" si="1"/>
        <v>0</v>
      </c>
    </row>
    <row r="45" spans="1:7" s="53" customFormat="1" ht="19.5" customHeight="1" x14ac:dyDescent="0.25">
      <c r="A45" s="40">
        <v>43</v>
      </c>
      <c r="B45" s="41" t="s">
        <v>263</v>
      </c>
      <c r="C45" s="40" t="s">
        <v>131</v>
      </c>
      <c r="D45" s="196">
        <v>3.38</v>
      </c>
      <c r="E45" s="54">
        <v>60</v>
      </c>
      <c r="F45" s="42"/>
      <c r="G45" s="55">
        <f t="shared" si="1"/>
        <v>202.8</v>
      </c>
    </row>
    <row r="46" spans="1:7" s="53" customFormat="1" ht="19.5" customHeight="1" x14ac:dyDescent="0.25">
      <c r="A46" s="40">
        <v>44</v>
      </c>
      <c r="B46" s="41" t="s">
        <v>264</v>
      </c>
      <c r="C46" s="40" t="s">
        <v>265</v>
      </c>
      <c r="D46" s="196">
        <v>7.16</v>
      </c>
      <c r="E46" s="42"/>
      <c r="F46" s="54" t="s">
        <v>154</v>
      </c>
      <c r="G46" s="55">
        <f t="shared" si="1"/>
        <v>0</v>
      </c>
    </row>
    <row r="47" spans="1:7" s="53" customFormat="1" ht="19.5" customHeight="1" x14ac:dyDescent="0.25">
      <c r="A47" s="40">
        <v>45</v>
      </c>
      <c r="B47" s="41" t="s">
        <v>266</v>
      </c>
      <c r="C47" s="40" t="s">
        <v>265</v>
      </c>
      <c r="D47" s="196">
        <v>8.0500000000000007</v>
      </c>
      <c r="E47" s="54">
        <v>48</v>
      </c>
      <c r="F47" s="42"/>
      <c r="G47" s="55">
        <f t="shared" si="1"/>
        <v>386.4</v>
      </c>
    </row>
    <row r="48" spans="1:7" s="53" customFormat="1" ht="19.5" customHeight="1" x14ac:dyDescent="0.25">
      <c r="A48" s="40">
        <v>46</v>
      </c>
      <c r="B48" s="41" t="s">
        <v>267</v>
      </c>
      <c r="C48" s="40" t="s">
        <v>134</v>
      </c>
      <c r="D48" s="196">
        <v>174.03</v>
      </c>
      <c r="E48" s="54">
        <v>1</v>
      </c>
      <c r="F48" s="42"/>
      <c r="G48" s="55">
        <f t="shared" si="1"/>
        <v>174.03</v>
      </c>
    </row>
    <row r="49" spans="1:7" s="53" customFormat="1" ht="19.5" customHeight="1" x14ac:dyDescent="0.25">
      <c r="A49" s="40">
        <v>47</v>
      </c>
      <c r="B49" s="59" t="s">
        <v>268</v>
      </c>
      <c r="C49" s="40" t="s">
        <v>134</v>
      </c>
      <c r="D49" s="196">
        <v>107.75</v>
      </c>
      <c r="E49" s="42">
        <v>2</v>
      </c>
      <c r="F49" s="54"/>
      <c r="G49" s="55">
        <f t="shared" si="1"/>
        <v>215.5</v>
      </c>
    </row>
    <row r="50" spans="1:7" s="53" customFormat="1" ht="19.5" customHeight="1" x14ac:dyDescent="0.25">
      <c r="A50" s="40">
        <v>48</v>
      </c>
      <c r="B50" s="60" t="s">
        <v>269</v>
      </c>
      <c r="C50" s="40" t="s">
        <v>134</v>
      </c>
      <c r="D50" s="196">
        <v>54.24</v>
      </c>
      <c r="E50" s="42"/>
      <c r="F50" s="54" t="s">
        <v>154</v>
      </c>
      <c r="G50" s="55">
        <f t="shared" si="1"/>
        <v>0</v>
      </c>
    </row>
    <row r="51" spans="1:7" s="53" customFormat="1" ht="19.5" customHeight="1" x14ac:dyDescent="0.25">
      <c r="A51" s="40">
        <v>49</v>
      </c>
      <c r="B51" s="60" t="s">
        <v>270</v>
      </c>
      <c r="C51" s="40" t="s">
        <v>134</v>
      </c>
      <c r="D51" s="196">
        <v>51.28</v>
      </c>
      <c r="E51" s="42"/>
      <c r="F51" s="54" t="s">
        <v>154</v>
      </c>
      <c r="G51" s="55">
        <f t="shared" si="1"/>
        <v>0</v>
      </c>
    </row>
    <row r="52" spans="1:7" s="53" customFormat="1" ht="19.5" customHeight="1" x14ac:dyDescent="0.25">
      <c r="A52" s="40">
        <v>50</v>
      </c>
      <c r="B52" s="60" t="s">
        <v>271</v>
      </c>
      <c r="C52" s="40" t="s">
        <v>272</v>
      </c>
      <c r="D52" s="196">
        <v>31.63</v>
      </c>
      <c r="E52" s="54">
        <v>1</v>
      </c>
      <c r="F52" s="42"/>
      <c r="G52" s="55">
        <f t="shared" si="1"/>
        <v>31.63</v>
      </c>
    </row>
    <row r="53" spans="1:7" s="53" customFormat="1" ht="19.5" customHeight="1" x14ac:dyDescent="0.25">
      <c r="A53" s="40">
        <v>51</v>
      </c>
      <c r="B53" s="60" t="s">
        <v>273</v>
      </c>
      <c r="C53" s="40" t="s">
        <v>274</v>
      </c>
      <c r="D53" s="196">
        <v>36.42</v>
      </c>
      <c r="E53" s="42"/>
      <c r="F53" s="54" t="s">
        <v>154</v>
      </c>
      <c r="G53" s="55">
        <f t="shared" si="1"/>
        <v>0</v>
      </c>
    </row>
    <row r="54" spans="1:7" s="53" customFormat="1" ht="19.5" customHeight="1" x14ac:dyDescent="0.25">
      <c r="A54" s="40">
        <v>52</v>
      </c>
      <c r="B54" s="60" t="s">
        <v>275</v>
      </c>
      <c r="C54" s="40" t="s">
        <v>134</v>
      </c>
      <c r="D54" s="196">
        <v>10.73</v>
      </c>
      <c r="E54" s="54">
        <v>6</v>
      </c>
      <c r="F54" s="42"/>
      <c r="G54" s="55">
        <f t="shared" si="1"/>
        <v>64.38</v>
      </c>
    </row>
    <row r="55" spans="1:7" s="53" customFormat="1" ht="19.5" customHeight="1" x14ac:dyDescent="0.25">
      <c r="A55" s="40">
        <v>53</v>
      </c>
      <c r="B55" s="60" t="s">
        <v>276</v>
      </c>
      <c r="C55" s="40" t="s">
        <v>134</v>
      </c>
      <c r="D55" s="196">
        <v>8.2100000000000009</v>
      </c>
      <c r="E55" s="54">
        <v>72</v>
      </c>
      <c r="F55" s="42"/>
      <c r="G55" s="55">
        <f t="shared" si="1"/>
        <v>591.12</v>
      </c>
    </row>
    <row r="56" spans="1:7" s="53" customFormat="1" ht="19.5" customHeight="1" x14ac:dyDescent="0.25">
      <c r="A56" s="40">
        <v>54</v>
      </c>
      <c r="B56" s="60" t="s">
        <v>277</v>
      </c>
      <c r="C56" s="40" t="s">
        <v>134</v>
      </c>
      <c r="D56" s="196">
        <v>4.83</v>
      </c>
      <c r="E56" s="54">
        <v>72</v>
      </c>
      <c r="F56" s="42"/>
      <c r="G56" s="55">
        <f t="shared" si="1"/>
        <v>347.76</v>
      </c>
    </row>
    <row r="57" spans="1:7" s="53" customFormat="1" ht="19.5" customHeight="1" x14ac:dyDescent="0.25">
      <c r="A57" s="40">
        <v>55</v>
      </c>
      <c r="B57" s="60" t="s">
        <v>278</v>
      </c>
      <c r="C57" s="40" t="s">
        <v>279</v>
      </c>
      <c r="D57" s="196">
        <v>40.5</v>
      </c>
      <c r="E57" s="54">
        <v>12</v>
      </c>
      <c r="F57" s="42"/>
      <c r="G57" s="55">
        <f t="shared" si="1"/>
        <v>486</v>
      </c>
    </row>
    <row r="58" spans="1:7" s="53" customFormat="1" ht="19.5" customHeight="1" x14ac:dyDescent="0.25">
      <c r="A58" s="40">
        <v>56</v>
      </c>
      <c r="B58" s="60" t="s">
        <v>280</v>
      </c>
      <c r="C58" s="40" t="s">
        <v>171</v>
      </c>
      <c r="D58" s="196">
        <v>21.12</v>
      </c>
      <c r="E58" s="54">
        <v>48</v>
      </c>
      <c r="F58" s="42"/>
      <c r="G58" s="55">
        <f t="shared" si="1"/>
        <v>1013.76</v>
      </c>
    </row>
    <row r="59" spans="1:7" s="53" customFormat="1" ht="19.5" customHeight="1" x14ac:dyDescent="0.25">
      <c r="A59" s="40">
        <v>57</v>
      </c>
      <c r="B59" s="60" t="s">
        <v>281</v>
      </c>
      <c r="C59" s="40" t="s">
        <v>282</v>
      </c>
      <c r="D59" s="196">
        <v>12.78</v>
      </c>
      <c r="E59" s="54">
        <v>180</v>
      </c>
      <c r="F59" s="42"/>
      <c r="G59" s="55">
        <f t="shared" si="1"/>
        <v>2300.4</v>
      </c>
    </row>
    <row r="60" spans="1:7" s="53" customFormat="1" ht="19.5" customHeight="1" x14ac:dyDescent="0.25">
      <c r="A60" s="40">
        <v>58</v>
      </c>
      <c r="B60" s="60" t="s">
        <v>283</v>
      </c>
      <c r="C60" s="40" t="s">
        <v>284</v>
      </c>
      <c r="D60" s="196">
        <v>8.83</v>
      </c>
      <c r="E60" s="54">
        <v>60</v>
      </c>
      <c r="F60" s="42"/>
      <c r="G60" s="55">
        <f t="shared" si="1"/>
        <v>529.79999999999995</v>
      </c>
    </row>
    <row r="61" spans="1:7" s="53" customFormat="1" ht="19.5" customHeight="1" x14ac:dyDescent="0.25">
      <c r="A61" s="40">
        <v>59</v>
      </c>
      <c r="B61" s="60" t="s">
        <v>285</v>
      </c>
      <c r="C61" s="40" t="s">
        <v>286</v>
      </c>
      <c r="D61" s="196">
        <v>2.5099999999999998</v>
      </c>
      <c r="E61" s="42"/>
      <c r="F61" s="54" t="s">
        <v>154</v>
      </c>
      <c r="G61" s="55">
        <f t="shared" si="1"/>
        <v>0</v>
      </c>
    </row>
    <row r="62" spans="1:7" s="53" customFormat="1" ht="19.5" customHeight="1" x14ac:dyDescent="0.25">
      <c r="A62" s="40">
        <v>60</v>
      </c>
      <c r="B62" s="60" t="s">
        <v>287</v>
      </c>
      <c r="C62" s="40" t="s">
        <v>134</v>
      </c>
      <c r="D62" s="196">
        <v>30.6</v>
      </c>
      <c r="E62" s="42"/>
      <c r="F62" s="54" t="s">
        <v>154</v>
      </c>
      <c r="G62" s="55">
        <f t="shared" si="1"/>
        <v>0</v>
      </c>
    </row>
    <row r="63" spans="1:7" s="53" customFormat="1" ht="19.5" customHeight="1" x14ac:dyDescent="0.25">
      <c r="A63" s="40">
        <v>61</v>
      </c>
      <c r="B63" s="60" t="s">
        <v>288</v>
      </c>
      <c r="C63" s="40" t="s">
        <v>134</v>
      </c>
      <c r="D63" s="196">
        <v>36.11</v>
      </c>
      <c r="E63" s="42"/>
      <c r="F63" s="54" t="s">
        <v>154</v>
      </c>
      <c r="G63" s="55">
        <f t="shared" si="1"/>
        <v>0</v>
      </c>
    </row>
    <row r="64" spans="1:7" s="53" customFormat="1" ht="19.5" customHeight="1" x14ac:dyDescent="0.25">
      <c r="A64" s="40">
        <v>62</v>
      </c>
      <c r="B64" s="60" t="s">
        <v>289</v>
      </c>
      <c r="C64" s="40" t="s">
        <v>290</v>
      </c>
      <c r="D64" s="196">
        <v>50.15</v>
      </c>
      <c r="E64" s="42"/>
      <c r="F64" s="54" t="s">
        <v>154</v>
      </c>
      <c r="G64" s="55">
        <f t="shared" si="1"/>
        <v>0</v>
      </c>
    </row>
    <row r="65" spans="1:7" s="53" customFormat="1" ht="19.5" customHeight="1" x14ac:dyDescent="0.25">
      <c r="A65" s="40">
        <v>63</v>
      </c>
      <c r="B65" s="60" t="s">
        <v>291</v>
      </c>
      <c r="C65" s="40" t="s">
        <v>134</v>
      </c>
      <c r="D65" s="196">
        <v>12.98</v>
      </c>
      <c r="E65" s="54">
        <v>6</v>
      </c>
      <c r="F65" s="42"/>
      <c r="G65" s="55">
        <f t="shared" si="1"/>
        <v>77.88</v>
      </c>
    </row>
    <row r="66" spans="1:7" s="53" customFormat="1" ht="19.5" customHeight="1" x14ac:dyDescent="0.25">
      <c r="A66" s="40">
        <v>64</v>
      </c>
      <c r="B66" s="60" t="s">
        <v>292</v>
      </c>
      <c r="C66" s="40" t="s">
        <v>134</v>
      </c>
      <c r="D66" s="196">
        <v>16.07</v>
      </c>
      <c r="E66" s="42"/>
      <c r="F66" s="54" t="s">
        <v>154</v>
      </c>
      <c r="G66" s="55">
        <f t="shared" si="1"/>
        <v>0</v>
      </c>
    </row>
    <row r="67" spans="1:7" s="53" customFormat="1" ht="19.5" customHeight="1" x14ac:dyDescent="0.25">
      <c r="A67" s="40">
        <v>65</v>
      </c>
      <c r="B67" s="60" t="s">
        <v>293</v>
      </c>
      <c r="C67" s="40" t="s">
        <v>134</v>
      </c>
      <c r="D67" s="196">
        <v>21.05</v>
      </c>
      <c r="E67" s="42"/>
      <c r="F67" s="54" t="s">
        <v>154</v>
      </c>
      <c r="G67" s="55">
        <f t="shared" ref="G67:G86" si="2">TRUNC((D67*E67),2)</f>
        <v>0</v>
      </c>
    </row>
    <row r="68" spans="1:7" s="53" customFormat="1" ht="19.5" customHeight="1" x14ac:dyDescent="0.25">
      <c r="A68" s="40">
        <v>66</v>
      </c>
      <c r="B68" s="60" t="s">
        <v>294</v>
      </c>
      <c r="C68" s="40" t="s">
        <v>134</v>
      </c>
      <c r="D68" s="196">
        <v>29</v>
      </c>
      <c r="E68" s="42"/>
      <c r="F68" s="54" t="s">
        <v>154</v>
      </c>
      <c r="G68" s="55">
        <f t="shared" si="2"/>
        <v>0</v>
      </c>
    </row>
    <row r="69" spans="1:7" s="53" customFormat="1" ht="19.5" customHeight="1" x14ac:dyDescent="0.25">
      <c r="A69" s="40">
        <v>67</v>
      </c>
      <c r="B69" s="60" t="s">
        <v>295</v>
      </c>
      <c r="C69" s="40" t="s">
        <v>134</v>
      </c>
      <c r="D69" s="196">
        <v>14.6</v>
      </c>
      <c r="E69" s="42">
        <v>6</v>
      </c>
      <c r="F69" s="54"/>
      <c r="G69" s="55">
        <f t="shared" si="2"/>
        <v>87.6</v>
      </c>
    </row>
    <row r="70" spans="1:7" s="53" customFormat="1" ht="19.5" customHeight="1" x14ac:dyDescent="0.25">
      <c r="A70" s="40">
        <v>68</v>
      </c>
      <c r="B70" s="60" t="s">
        <v>296</v>
      </c>
      <c r="C70" s="40" t="s">
        <v>134</v>
      </c>
      <c r="D70" s="196">
        <v>15.13</v>
      </c>
      <c r="E70" s="54">
        <v>6</v>
      </c>
      <c r="F70" s="42"/>
      <c r="G70" s="55">
        <f t="shared" si="2"/>
        <v>90.78</v>
      </c>
    </row>
    <row r="71" spans="1:7" s="53" customFormat="1" ht="19.5" customHeight="1" x14ac:dyDescent="0.25">
      <c r="A71" s="40">
        <v>69</v>
      </c>
      <c r="B71" s="60" t="s">
        <v>147</v>
      </c>
      <c r="C71" s="40" t="s">
        <v>297</v>
      </c>
      <c r="D71" s="196">
        <v>10.119999999999999</v>
      </c>
      <c r="E71" s="54">
        <v>24</v>
      </c>
      <c r="F71" s="42"/>
      <c r="G71" s="55">
        <f t="shared" si="2"/>
        <v>242.88</v>
      </c>
    </row>
    <row r="72" spans="1:7" s="53" customFormat="1" ht="19.5" customHeight="1" x14ac:dyDescent="0.25">
      <c r="A72" s="40">
        <v>70</v>
      </c>
      <c r="B72" s="60" t="s">
        <v>298</v>
      </c>
      <c r="C72" s="40" t="s">
        <v>218</v>
      </c>
      <c r="D72" s="196">
        <v>16.329999999999998</v>
      </c>
      <c r="E72" s="54"/>
      <c r="F72" s="42" t="s">
        <v>154</v>
      </c>
      <c r="G72" s="55">
        <f t="shared" si="2"/>
        <v>0</v>
      </c>
    </row>
    <row r="73" spans="1:7" s="53" customFormat="1" ht="19.5" customHeight="1" x14ac:dyDescent="0.25">
      <c r="A73" s="40">
        <v>71</v>
      </c>
      <c r="B73" s="60" t="s">
        <v>299</v>
      </c>
      <c r="C73" s="40" t="s">
        <v>300</v>
      </c>
      <c r="D73" s="196">
        <v>12.25</v>
      </c>
      <c r="E73" s="54">
        <v>24</v>
      </c>
      <c r="F73" s="42"/>
      <c r="G73" s="55">
        <f t="shared" si="2"/>
        <v>294</v>
      </c>
    </row>
    <row r="74" spans="1:7" s="53" customFormat="1" ht="19.5" customHeight="1" x14ac:dyDescent="0.25">
      <c r="A74" s="40">
        <v>72</v>
      </c>
      <c r="B74" s="60" t="s">
        <v>301</v>
      </c>
      <c r="C74" s="40" t="s">
        <v>218</v>
      </c>
      <c r="D74" s="196">
        <v>15.66</v>
      </c>
      <c r="E74" s="54">
        <v>12</v>
      </c>
      <c r="F74" s="42"/>
      <c r="G74" s="55">
        <f t="shared" si="2"/>
        <v>187.92</v>
      </c>
    </row>
    <row r="75" spans="1:7" s="53" customFormat="1" ht="19.5" customHeight="1" x14ac:dyDescent="0.25">
      <c r="A75" s="40">
        <v>73</v>
      </c>
      <c r="B75" s="60" t="s">
        <v>302</v>
      </c>
      <c r="C75" s="40" t="s">
        <v>303</v>
      </c>
      <c r="D75" s="196">
        <v>11.75</v>
      </c>
      <c r="E75" s="54">
        <v>144</v>
      </c>
      <c r="F75" s="42"/>
      <c r="G75" s="55">
        <f t="shared" si="2"/>
        <v>1692</v>
      </c>
    </row>
    <row r="76" spans="1:7" s="53" customFormat="1" ht="19.5" customHeight="1" x14ac:dyDescent="0.25">
      <c r="A76" s="40">
        <v>74</v>
      </c>
      <c r="B76" s="60" t="s">
        <v>304</v>
      </c>
      <c r="C76" s="40" t="s">
        <v>303</v>
      </c>
      <c r="D76" s="196">
        <v>13.13</v>
      </c>
      <c r="E76" s="42"/>
      <c r="F76" s="54" t="s">
        <v>154</v>
      </c>
      <c r="G76" s="55">
        <f t="shared" si="2"/>
        <v>0</v>
      </c>
    </row>
    <row r="77" spans="1:7" s="53" customFormat="1" ht="19.5" customHeight="1" x14ac:dyDescent="0.25">
      <c r="A77" s="40">
        <v>75</v>
      </c>
      <c r="B77" s="60" t="s">
        <v>305</v>
      </c>
      <c r="C77" s="40" t="s">
        <v>303</v>
      </c>
      <c r="D77" s="196">
        <v>16.66</v>
      </c>
      <c r="E77" s="54">
        <v>144</v>
      </c>
      <c r="F77" s="42"/>
      <c r="G77" s="55">
        <f t="shared" si="2"/>
        <v>2399.04</v>
      </c>
    </row>
    <row r="78" spans="1:7" s="53" customFormat="1" ht="19.5" customHeight="1" x14ac:dyDescent="0.25">
      <c r="A78" s="40">
        <v>76</v>
      </c>
      <c r="B78" s="60" t="s">
        <v>306</v>
      </c>
      <c r="C78" s="40" t="s">
        <v>134</v>
      </c>
      <c r="D78" s="196">
        <v>38.83</v>
      </c>
      <c r="E78" s="54">
        <v>2</v>
      </c>
      <c r="F78" s="42"/>
      <c r="G78" s="55">
        <f t="shared" si="2"/>
        <v>77.66</v>
      </c>
    </row>
    <row r="79" spans="1:7" s="53" customFormat="1" ht="19.5" customHeight="1" x14ac:dyDescent="0.25">
      <c r="A79" s="40">
        <v>77</v>
      </c>
      <c r="B79" s="60" t="s">
        <v>307</v>
      </c>
      <c r="C79" s="40" t="s">
        <v>308</v>
      </c>
      <c r="D79" s="196">
        <v>5.95</v>
      </c>
      <c r="E79" s="54">
        <v>6</v>
      </c>
      <c r="F79" s="42"/>
      <c r="G79" s="55">
        <f t="shared" si="2"/>
        <v>35.700000000000003</v>
      </c>
    </row>
    <row r="80" spans="1:7" s="53" customFormat="1" ht="19.5" customHeight="1" x14ac:dyDescent="0.25">
      <c r="A80" s="40">
        <v>78</v>
      </c>
      <c r="B80" s="60" t="s">
        <v>309</v>
      </c>
      <c r="C80" s="40" t="s">
        <v>310</v>
      </c>
      <c r="D80" s="196">
        <v>17.010000000000002</v>
      </c>
      <c r="E80" s="42"/>
      <c r="F80" s="54" t="s">
        <v>154</v>
      </c>
      <c r="G80" s="55">
        <f t="shared" si="2"/>
        <v>0</v>
      </c>
    </row>
    <row r="81" spans="1:7" s="53" customFormat="1" ht="19.5" customHeight="1" x14ac:dyDescent="0.25">
      <c r="A81" s="40">
        <v>79</v>
      </c>
      <c r="B81" s="61" t="s">
        <v>311</v>
      </c>
      <c r="C81" s="40" t="s">
        <v>134</v>
      </c>
      <c r="D81" s="196">
        <v>19.37</v>
      </c>
      <c r="E81" s="42"/>
      <c r="F81" s="54" t="s">
        <v>154</v>
      </c>
      <c r="G81" s="55">
        <f t="shared" si="2"/>
        <v>0</v>
      </c>
    </row>
    <row r="82" spans="1:7" s="53" customFormat="1" ht="19.5" customHeight="1" x14ac:dyDescent="0.25">
      <c r="A82" s="40">
        <v>80</v>
      </c>
      <c r="B82" s="60" t="s">
        <v>312</v>
      </c>
      <c r="C82" s="40" t="s">
        <v>134</v>
      </c>
      <c r="D82" s="196">
        <v>21.16</v>
      </c>
      <c r="E82" s="42"/>
      <c r="F82" s="54" t="s">
        <v>154</v>
      </c>
      <c r="G82" s="55">
        <f t="shared" si="2"/>
        <v>0</v>
      </c>
    </row>
    <row r="83" spans="1:7" s="53" customFormat="1" ht="19.5" customHeight="1" x14ac:dyDescent="0.25">
      <c r="A83" s="40">
        <v>81</v>
      </c>
      <c r="B83" s="60" t="s">
        <v>313</v>
      </c>
      <c r="C83" s="40" t="s">
        <v>134</v>
      </c>
      <c r="D83" s="196">
        <v>30.73</v>
      </c>
      <c r="E83" s="54">
        <v>1</v>
      </c>
      <c r="F83" s="42"/>
      <c r="G83" s="55">
        <f t="shared" si="2"/>
        <v>30.73</v>
      </c>
    </row>
    <row r="84" spans="1:7" s="53" customFormat="1" ht="19.5" customHeight="1" x14ac:dyDescent="0.25">
      <c r="A84" s="40">
        <v>82</v>
      </c>
      <c r="B84" s="60" t="s">
        <v>314</v>
      </c>
      <c r="C84" s="40" t="s">
        <v>134</v>
      </c>
      <c r="D84" s="196">
        <v>16.57</v>
      </c>
      <c r="E84" s="54">
        <v>6</v>
      </c>
      <c r="F84" s="42"/>
      <c r="G84" s="55">
        <f t="shared" si="2"/>
        <v>99.42</v>
      </c>
    </row>
    <row r="85" spans="1:7" s="53" customFormat="1" ht="19.5" customHeight="1" x14ac:dyDescent="0.25">
      <c r="A85" s="40">
        <v>83</v>
      </c>
      <c r="B85" s="60" t="s">
        <v>315</v>
      </c>
      <c r="C85" s="40" t="s">
        <v>134</v>
      </c>
      <c r="D85" s="196">
        <v>18.7</v>
      </c>
      <c r="E85" s="54">
        <v>6</v>
      </c>
      <c r="F85" s="42"/>
      <c r="G85" s="55">
        <f t="shared" si="2"/>
        <v>112.2</v>
      </c>
    </row>
    <row r="86" spans="1:7" s="53" customFormat="1" ht="19.5" customHeight="1" x14ac:dyDescent="0.25">
      <c r="A86" s="40">
        <v>84</v>
      </c>
      <c r="B86" s="60" t="s">
        <v>316</v>
      </c>
      <c r="C86" s="40" t="s">
        <v>134</v>
      </c>
      <c r="D86" s="196">
        <v>8.32</v>
      </c>
      <c r="E86" s="54">
        <v>2</v>
      </c>
      <c r="F86" s="42"/>
      <c r="G86" s="55">
        <f t="shared" si="2"/>
        <v>16.64</v>
      </c>
    </row>
    <row r="87" spans="1:7" s="53" customFormat="1" ht="19.5" customHeight="1" x14ac:dyDescent="0.25">
      <c r="A87" s="62"/>
      <c r="B87" s="60"/>
      <c r="C87" s="40"/>
      <c r="D87" s="40"/>
      <c r="E87" s="40"/>
      <c r="F87" s="40"/>
      <c r="G87" s="55"/>
    </row>
    <row r="88" spans="1:7" s="53" customFormat="1" ht="19.5" customHeight="1" x14ac:dyDescent="0.25">
      <c r="A88" s="62"/>
      <c r="B88" s="60"/>
      <c r="C88" s="40"/>
      <c r="D88" s="40"/>
      <c r="E88" s="40"/>
      <c r="F88" s="55"/>
      <c r="G88" s="55"/>
    </row>
    <row r="89" spans="1:7" s="53" customFormat="1" ht="19.5" customHeight="1" x14ac:dyDescent="0.25">
      <c r="A89" s="62"/>
      <c r="B89" s="60"/>
      <c r="C89" s="40"/>
      <c r="D89" s="55">
        <f>TRUNC(SUM(D3:D86),2)</f>
        <v>2064.12</v>
      </c>
      <c r="E89" s="40"/>
      <c r="F89" s="55"/>
      <c r="G89" s="55">
        <f>TRUNC(SUM(G3:G86),2)</f>
        <v>18271.95</v>
      </c>
    </row>
    <row r="90" spans="1:7" s="53" customFormat="1" ht="19.5" customHeight="1" x14ac:dyDescent="0.25">
      <c r="A90" s="51"/>
      <c r="B90" s="51"/>
      <c r="C90" s="51"/>
      <c r="D90" s="51"/>
      <c r="E90" s="51"/>
      <c r="F90" s="51"/>
      <c r="G90" s="51"/>
    </row>
    <row r="91" spans="1:7" s="53" customFormat="1" ht="19.5" customHeight="1" x14ac:dyDescent="0.25">
      <c r="A91" s="51"/>
      <c r="B91" s="51"/>
      <c r="C91" s="250" t="s">
        <v>149</v>
      </c>
      <c r="D91" s="250"/>
      <c r="E91" s="250"/>
      <c r="F91" s="251">
        <f>TRUNC((G89/12),2)</f>
        <v>1522.66</v>
      </c>
      <c r="G91" s="251"/>
    </row>
    <row r="92" spans="1:7" s="53" customFormat="1" ht="19.5" customHeight="1" x14ac:dyDescent="0.25">
      <c r="A92" s="51"/>
      <c r="B92" s="51"/>
      <c r="C92" s="224" t="s">
        <v>317</v>
      </c>
      <c r="D92" s="224"/>
      <c r="E92" s="224"/>
      <c r="F92" s="251">
        <f>TRUNC((F91/5),2)</f>
        <v>304.52999999999997</v>
      </c>
      <c r="G92" s="251"/>
    </row>
    <row r="93" spans="1:7" s="53" customFormat="1" ht="12" x14ac:dyDescent="0.25">
      <c r="A93" s="63"/>
      <c r="B93" s="63"/>
      <c r="C93" s="63"/>
      <c r="D93" s="63"/>
      <c r="E93" s="63"/>
      <c r="F93" s="63"/>
      <c r="G93" s="63"/>
    </row>
    <row r="94" spans="1:7" s="53" customFormat="1" ht="12" x14ac:dyDescent="0.25">
      <c r="A94" s="63"/>
      <c r="B94" s="63"/>
      <c r="C94" s="63"/>
      <c r="D94" s="63"/>
      <c r="E94" s="63"/>
      <c r="F94" s="63"/>
      <c r="G94" s="63"/>
    </row>
    <row r="95" spans="1:7" x14ac:dyDescent="0.3">
      <c r="A95" s="32"/>
      <c r="B95" s="32"/>
      <c r="C95" s="32"/>
      <c r="D95" s="32"/>
      <c r="E95" s="32"/>
      <c r="F95" s="32"/>
      <c r="G95" s="32"/>
    </row>
  </sheetData>
  <sheetProtection sheet="1" objects="1" scenarios="1"/>
  <protectedRanges>
    <protectedRange sqref="D3:D86" name="Intervalo1"/>
  </protectedRanges>
  <mergeCells count="5">
    <mergeCell ref="A1:G1"/>
    <mergeCell ref="C91:E91"/>
    <mergeCell ref="F91:G91"/>
    <mergeCell ref="C92:E92"/>
    <mergeCell ref="F92:G92"/>
  </mergeCells>
  <pageMargins left="0.7" right="0.7"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74"/>
  <sheetViews>
    <sheetView zoomScale="90" zoomScaleNormal="90" workbookViewId="0">
      <selection activeCell="F4" sqref="F4"/>
    </sheetView>
  </sheetViews>
  <sheetFormatPr defaultColWidth="8.6640625" defaultRowHeight="14.4" x14ac:dyDescent="0.3"/>
  <cols>
    <col min="2" max="2" width="72" customWidth="1"/>
    <col min="3" max="3" width="15.44140625" customWidth="1"/>
    <col min="4" max="4" width="18.33203125" customWidth="1"/>
    <col min="5" max="5" width="16.33203125" customWidth="1"/>
    <col min="6" max="6" width="15.33203125" customWidth="1"/>
    <col min="7" max="7" width="16.33203125" customWidth="1"/>
    <col min="8" max="8" width="17.6640625" customWidth="1"/>
    <col min="9" max="9" width="24.109375" customWidth="1"/>
  </cols>
  <sheetData>
    <row r="1" spans="1:9" x14ac:dyDescent="0.3">
      <c r="A1" s="249" t="s">
        <v>318</v>
      </c>
      <c r="B1" s="249"/>
      <c r="C1" s="249"/>
      <c r="D1" s="249"/>
      <c r="E1" s="249"/>
      <c r="F1" s="249"/>
      <c r="G1" s="249"/>
      <c r="H1" s="249"/>
      <c r="I1" s="249"/>
    </row>
    <row r="2" spans="1:9" x14ac:dyDescent="0.3">
      <c r="A2" s="252" t="s">
        <v>319</v>
      </c>
      <c r="B2" s="252"/>
      <c r="C2" s="252"/>
      <c r="D2" s="252"/>
      <c r="E2" s="252"/>
      <c r="F2" s="252"/>
      <c r="G2" s="252"/>
      <c r="H2" s="252"/>
      <c r="I2" s="252"/>
    </row>
    <row r="3" spans="1:9" ht="45" customHeight="1" x14ac:dyDescent="0.3">
      <c r="A3" s="1" t="s">
        <v>1</v>
      </c>
      <c r="B3" s="1" t="s">
        <v>320</v>
      </c>
      <c r="C3" s="1" t="s">
        <v>321</v>
      </c>
      <c r="D3" s="1" t="s">
        <v>322</v>
      </c>
      <c r="E3" s="1" t="s">
        <v>323</v>
      </c>
      <c r="F3" s="1" t="s">
        <v>324</v>
      </c>
      <c r="G3" s="1" t="s">
        <v>325</v>
      </c>
      <c r="H3" s="1" t="s">
        <v>326</v>
      </c>
      <c r="I3" s="1" t="s">
        <v>327</v>
      </c>
    </row>
    <row r="4" spans="1:9" ht="30.75" customHeight="1" x14ac:dyDescent="0.3">
      <c r="A4" s="64">
        <v>1</v>
      </c>
      <c r="B4" s="65" t="s">
        <v>328</v>
      </c>
      <c r="C4" s="253">
        <v>2</v>
      </c>
      <c r="D4" s="40">
        <v>2</v>
      </c>
      <c r="E4" s="40">
        <v>2</v>
      </c>
      <c r="F4" s="197">
        <v>92.3</v>
      </c>
      <c r="G4" s="66">
        <f t="shared" ref="G4:G9" si="0">TRUNC((D4*E4*F4),2)</f>
        <v>369.2</v>
      </c>
      <c r="H4" s="66">
        <f t="shared" ref="H4:H9" si="1">TRUNC(($C$4*G4),2)</f>
        <v>738.4</v>
      </c>
      <c r="I4" s="66">
        <f t="shared" ref="I4:I9" si="2">TRUNC((H4/12),2)</f>
        <v>61.53</v>
      </c>
    </row>
    <row r="5" spans="1:9" ht="28.5" customHeight="1" x14ac:dyDescent="0.3">
      <c r="A5" s="64">
        <v>2</v>
      </c>
      <c r="B5" s="65" t="s">
        <v>329</v>
      </c>
      <c r="C5" s="253"/>
      <c r="D5" s="40">
        <v>4</v>
      </c>
      <c r="E5" s="40">
        <v>2</v>
      </c>
      <c r="F5" s="197">
        <v>79.319999999999993</v>
      </c>
      <c r="G5" s="55">
        <f t="shared" si="0"/>
        <v>634.55999999999995</v>
      </c>
      <c r="H5" s="66">
        <f t="shared" si="1"/>
        <v>1269.1199999999999</v>
      </c>
      <c r="I5" s="66">
        <f t="shared" si="2"/>
        <v>105.76</v>
      </c>
    </row>
    <row r="6" spans="1:9" ht="18.75" customHeight="1" x14ac:dyDescent="0.3">
      <c r="A6" s="64">
        <v>3</v>
      </c>
      <c r="B6" s="65" t="s">
        <v>330</v>
      </c>
      <c r="C6" s="253"/>
      <c r="D6" s="40">
        <v>4</v>
      </c>
      <c r="E6" s="40">
        <v>2</v>
      </c>
      <c r="F6" s="197">
        <v>21.25</v>
      </c>
      <c r="G6" s="55">
        <f t="shared" si="0"/>
        <v>170</v>
      </c>
      <c r="H6" s="66">
        <f t="shared" si="1"/>
        <v>340</v>
      </c>
      <c r="I6" s="66">
        <f t="shared" si="2"/>
        <v>28.33</v>
      </c>
    </row>
    <row r="7" spans="1:9" x14ac:dyDescent="0.3">
      <c r="A7" s="64">
        <v>4</v>
      </c>
      <c r="B7" s="67" t="s">
        <v>331</v>
      </c>
      <c r="C7" s="253"/>
      <c r="D7" s="40">
        <v>2</v>
      </c>
      <c r="E7" s="40">
        <v>2</v>
      </c>
      <c r="F7" s="197">
        <v>100.79</v>
      </c>
      <c r="G7" s="55">
        <f t="shared" si="0"/>
        <v>403.16</v>
      </c>
      <c r="H7" s="66">
        <f t="shared" si="1"/>
        <v>806.32</v>
      </c>
      <c r="I7" s="66">
        <f t="shared" si="2"/>
        <v>67.19</v>
      </c>
    </row>
    <row r="8" spans="1:9" x14ac:dyDescent="0.3">
      <c r="A8" s="64">
        <v>5</v>
      </c>
      <c r="B8" s="67" t="s">
        <v>332</v>
      </c>
      <c r="C8" s="253"/>
      <c r="D8" s="40">
        <v>2</v>
      </c>
      <c r="E8" s="40">
        <v>2</v>
      </c>
      <c r="F8" s="197">
        <v>75.260000000000005</v>
      </c>
      <c r="G8" s="55">
        <f t="shared" si="0"/>
        <v>301.04000000000002</v>
      </c>
      <c r="H8" s="66">
        <f t="shared" si="1"/>
        <v>602.08000000000004</v>
      </c>
      <c r="I8" s="66">
        <f t="shared" si="2"/>
        <v>50.17</v>
      </c>
    </row>
    <row r="9" spans="1:9" x14ac:dyDescent="0.3">
      <c r="A9" s="64">
        <v>6</v>
      </c>
      <c r="B9" s="67" t="s">
        <v>333</v>
      </c>
      <c r="C9" s="253"/>
      <c r="D9" s="40">
        <v>1</v>
      </c>
      <c r="E9" s="40">
        <v>2</v>
      </c>
      <c r="F9" s="197">
        <v>126.77</v>
      </c>
      <c r="G9" s="55">
        <f t="shared" si="0"/>
        <v>253.54</v>
      </c>
      <c r="H9" s="66">
        <f t="shared" si="1"/>
        <v>507.08</v>
      </c>
      <c r="I9" s="66">
        <f t="shared" si="2"/>
        <v>42.25</v>
      </c>
    </row>
    <row r="10" spans="1:9" x14ac:dyDescent="0.3">
      <c r="A10" s="68"/>
      <c r="B10" s="254" t="s">
        <v>91</v>
      </c>
      <c r="C10" s="254"/>
      <c r="D10" s="254"/>
      <c r="E10" s="254"/>
      <c r="F10" s="69">
        <f>SUM(F4:F9)</f>
        <v>495.69</v>
      </c>
      <c r="G10" s="69">
        <f>TRUNC(SUM(G4:G9),2)</f>
        <v>2131.5</v>
      </c>
      <c r="H10" s="69">
        <f>TRUNC(SUM(H4:H9),2)</f>
        <v>4263</v>
      </c>
      <c r="I10" s="70">
        <f>TRUNC(SUM(I4:I9),2)</f>
        <v>355.23</v>
      </c>
    </row>
    <row r="11" spans="1:9" x14ac:dyDescent="0.3">
      <c r="A11" s="255"/>
      <c r="B11" s="255"/>
      <c r="C11" s="255"/>
      <c r="D11" s="255"/>
      <c r="E11" s="255"/>
      <c r="F11" s="255"/>
      <c r="G11" s="255"/>
      <c r="H11" s="255"/>
      <c r="I11" s="255"/>
    </row>
    <row r="12" spans="1:9" x14ac:dyDescent="0.3">
      <c r="A12" s="252" t="s">
        <v>334</v>
      </c>
      <c r="B12" s="252"/>
      <c r="C12" s="252"/>
      <c r="D12" s="252"/>
      <c r="E12" s="252"/>
      <c r="F12" s="252"/>
      <c r="G12" s="252"/>
      <c r="H12" s="252"/>
      <c r="I12" s="252"/>
    </row>
    <row r="13" spans="1:9" ht="46.5" customHeight="1" x14ac:dyDescent="0.3">
      <c r="A13" s="1" t="s">
        <v>1</v>
      </c>
      <c r="B13" s="1" t="s">
        <v>320</v>
      </c>
      <c r="C13" s="1" t="s">
        <v>321</v>
      </c>
      <c r="D13" s="1" t="s">
        <v>322</v>
      </c>
      <c r="E13" s="1" t="s">
        <v>323</v>
      </c>
      <c r="F13" s="1" t="s">
        <v>324</v>
      </c>
      <c r="G13" s="1" t="s">
        <v>325</v>
      </c>
      <c r="H13" s="1" t="s">
        <v>326</v>
      </c>
      <c r="I13" s="1" t="s">
        <v>327</v>
      </c>
    </row>
    <row r="14" spans="1:9" ht="69.75" customHeight="1" x14ac:dyDescent="0.3">
      <c r="A14" s="64">
        <v>1</v>
      </c>
      <c r="B14" s="65" t="s">
        <v>335</v>
      </c>
      <c r="C14" s="253">
        <v>2</v>
      </c>
      <c r="D14" s="40">
        <v>4</v>
      </c>
      <c r="E14" s="40">
        <v>2</v>
      </c>
      <c r="F14" s="197">
        <v>79.86</v>
      </c>
      <c r="G14" s="66">
        <f>TRUNC((D14*E14*F14),2)</f>
        <v>638.88</v>
      </c>
      <c r="H14" s="66">
        <f>TRUNC(($C$14*G14),2)</f>
        <v>1277.76</v>
      </c>
      <c r="I14" s="66">
        <f>TRUNC((H14/12),2)</f>
        <v>106.48</v>
      </c>
    </row>
    <row r="15" spans="1:9" ht="54.75" customHeight="1" x14ac:dyDescent="0.3">
      <c r="A15" s="64">
        <v>2</v>
      </c>
      <c r="B15" s="65" t="s">
        <v>336</v>
      </c>
      <c r="C15" s="253"/>
      <c r="D15" s="40">
        <v>2</v>
      </c>
      <c r="E15" s="40">
        <v>2</v>
      </c>
      <c r="F15" s="197">
        <v>85.72</v>
      </c>
      <c r="G15" s="66">
        <f>TRUNC((D15*E15*F15),2)</f>
        <v>342.88</v>
      </c>
      <c r="H15" s="66">
        <f>TRUNC(($C$14*G15),2)</f>
        <v>685.76</v>
      </c>
      <c r="I15" s="66">
        <f>TRUNC((H15/12),2)</f>
        <v>57.14</v>
      </c>
    </row>
    <row r="16" spans="1:9" ht="30.75" customHeight="1" x14ac:dyDescent="0.3">
      <c r="A16" s="64">
        <v>3</v>
      </c>
      <c r="B16" s="65" t="s">
        <v>337</v>
      </c>
      <c r="C16" s="253"/>
      <c r="D16" s="40">
        <v>4</v>
      </c>
      <c r="E16" s="40">
        <v>2</v>
      </c>
      <c r="F16" s="197">
        <v>27.15</v>
      </c>
      <c r="G16" s="66">
        <f>TRUNC((D16*E16*F16),2)</f>
        <v>217.2</v>
      </c>
      <c r="H16" s="66">
        <f>TRUNC(($C$14*G16),2)</f>
        <v>434.4</v>
      </c>
      <c r="I16" s="66">
        <f>TRUNC((H16/12),2)</f>
        <v>36.200000000000003</v>
      </c>
    </row>
    <row r="17" spans="1:9" ht="34.5" customHeight="1" x14ac:dyDescent="0.3">
      <c r="A17" s="64">
        <v>4</v>
      </c>
      <c r="B17" s="65" t="s">
        <v>338</v>
      </c>
      <c r="C17" s="253"/>
      <c r="D17" s="40">
        <v>2</v>
      </c>
      <c r="E17" s="40">
        <v>2</v>
      </c>
      <c r="F17" s="197">
        <v>142.19999999999999</v>
      </c>
      <c r="G17" s="66">
        <f>TRUNC((D17*E17*F17),2)</f>
        <v>568.79999999999995</v>
      </c>
      <c r="H17" s="66">
        <f>TRUNC(($C$14*G17),2)</f>
        <v>1137.5999999999999</v>
      </c>
      <c r="I17" s="66">
        <f>TRUNC((H17/12),2)</f>
        <v>94.8</v>
      </c>
    </row>
    <row r="18" spans="1:9" ht="17.25" customHeight="1" x14ac:dyDescent="0.3">
      <c r="A18" s="64">
        <v>5</v>
      </c>
      <c r="B18" s="67" t="s">
        <v>339</v>
      </c>
      <c r="C18" s="253"/>
      <c r="D18" s="40">
        <v>1</v>
      </c>
      <c r="E18" s="40">
        <v>2</v>
      </c>
      <c r="F18" s="197">
        <v>126.77</v>
      </c>
      <c r="G18" s="66">
        <f>TRUNC((D18*E18*F18),2)</f>
        <v>253.54</v>
      </c>
      <c r="H18" s="66">
        <f>TRUNC(($C$14*G18),2)</f>
        <v>507.08</v>
      </c>
      <c r="I18" s="66">
        <f>TRUNC((H18/12),2)</f>
        <v>42.25</v>
      </c>
    </row>
    <row r="19" spans="1:9" x14ac:dyDescent="0.3">
      <c r="A19" s="68"/>
      <c r="B19" s="256" t="s">
        <v>91</v>
      </c>
      <c r="C19" s="256"/>
      <c r="D19" s="256"/>
      <c r="E19" s="256"/>
      <c r="F19" s="69">
        <f>SUM(F14:F18)</f>
        <v>461.69999999999993</v>
      </c>
      <c r="G19" s="69">
        <f>TRUNC(SUM(G14:G18),2)</f>
        <v>2021.3</v>
      </c>
      <c r="H19" s="69">
        <f>TRUNC(SUM(H14:H18),2)</f>
        <v>4042.6</v>
      </c>
      <c r="I19" s="70">
        <f>TRUNC(SUM(I14:I18),2)</f>
        <v>336.87</v>
      </c>
    </row>
    <row r="20" spans="1:9" x14ac:dyDescent="0.3">
      <c r="A20" s="72"/>
      <c r="B20" s="72"/>
      <c r="C20" s="72"/>
      <c r="D20" s="72"/>
      <c r="E20" s="72"/>
      <c r="F20" s="72"/>
      <c r="G20" s="72"/>
      <c r="H20" s="72"/>
      <c r="I20" s="72"/>
    </row>
    <row r="21" spans="1:9" x14ac:dyDescent="0.3">
      <c r="A21" s="249" t="s">
        <v>340</v>
      </c>
      <c r="B21" s="249"/>
      <c r="C21" s="249"/>
      <c r="D21" s="249"/>
      <c r="E21" s="249"/>
      <c r="F21" s="249"/>
      <c r="G21" s="249"/>
      <c r="H21" s="249"/>
      <c r="I21" s="249"/>
    </row>
    <row r="22" spans="1:9" ht="46.5" customHeight="1" x14ac:dyDescent="0.3">
      <c r="A22" s="1" t="s">
        <v>1</v>
      </c>
      <c r="B22" s="1" t="s">
        <v>320</v>
      </c>
      <c r="C22" s="1" t="s">
        <v>321</v>
      </c>
      <c r="D22" s="1" t="s">
        <v>322</v>
      </c>
      <c r="E22" s="1" t="s">
        <v>323</v>
      </c>
      <c r="F22" s="1" t="s">
        <v>324</v>
      </c>
      <c r="G22" s="1" t="s">
        <v>325</v>
      </c>
      <c r="H22" s="1" t="s">
        <v>326</v>
      </c>
      <c r="I22" s="1" t="s">
        <v>327</v>
      </c>
    </row>
    <row r="23" spans="1:9" ht="16.5" customHeight="1" x14ac:dyDescent="0.3">
      <c r="A23" s="64" t="s">
        <v>341</v>
      </c>
      <c r="B23" s="222" t="s">
        <v>342</v>
      </c>
      <c r="C23" s="222"/>
      <c r="D23" s="222"/>
      <c r="E23" s="222"/>
      <c r="F23" s="55">
        <f>F10+F19</f>
        <v>957.38999999999987</v>
      </c>
      <c r="G23" s="55">
        <f>G10+G19</f>
        <v>4152.8</v>
      </c>
      <c r="H23" s="55">
        <f>H10+H19</f>
        <v>8305.6</v>
      </c>
      <c r="I23" s="73">
        <f>TRUNC(((I10+I19)/2),2)</f>
        <v>346.05</v>
      </c>
    </row>
    <row r="24" spans="1:9" x14ac:dyDescent="0.3">
      <c r="A24" s="255"/>
      <c r="B24" s="255"/>
      <c r="C24" s="255"/>
      <c r="D24" s="255"/>
      <c r="E24" s="255"/>
      <c r="F24" s="255"/>
      <c r="G24" s="255"/>
      <c r="H24" s="255"/>
      <c r="I24" s="198">
        <f>TRUNC((I23/2),2)</f>
        <v>173.02</v>
      </c>
    </row>
    <row r="25" spans="1:9" x14ac:dyDescent="0.3">
      <c r="A25" s="74"/>
      <c r="B25" s="75"/>
      <c r="C25" s="76"/>
      <c r="D25" s="76"/>
      <c r="E25" s="77"/>
      <c r="F25" s="77"/>
      <c r="G25" s="76"/>
      <c r="H25" s="76"/>
      <c r="I25" s="78"/>
    </row>
    <row r="26" spans="1:9" x14ac:dyDescent="0.3">
      <c r="A26" s="74"/>
      <c r="B26" s="75"/>
      <c r="C26" s="76"/>
      <c r="D26" s="76"/>
      <c r="E26" s="77"/>
      <c r="F26" s="77"/>
      <c r="G26" s="76"/>
      <c r="H26" s="76"/>
      <c r="I26" s="78"/>
    </row>
    <row r="27" spans="1:9" x14ac:dyDescent="0.3">
      <c r="A27" s="249" t="s">
        <v>343</v>
      </c>
      <c r="B27" s="249"/>
      <c r="C27" s="249"/>
      <c r="D27" s="249"/>
      <c r="E27" s="249"/>
      <c r="F27" s="249"/>
      <c r="G27" s="249"/>
      <c r="H27" s="249"/>
      <c r="I27" s="249"/>
    </row>
    <row r="28" spans="1:9" ht="50.25" customHeight="1" x14ac:dyDescent="0.3">
      <c r="A28" s="1" t="s">
        <v>1</v>
      </c>
      <c r="B28" s="1" t="s">
        <v>320</v>
      </c>
      <c r="C28" s="1" t="s">
        <v>321</v>
      </c>
      <c r="D28" s="1" t="s">
        <v>322</v>
      </c>
      <c r="E28" s="1" t="s">
        <v>323</v>
      </c>
      <c r="F28" s="1" t="s">
        <v>324</v>
      </c>
      <c r="G28" s="1" t="s">
        <v>325</v>
      </c>
      <c r="H28" s="1" t="s">
        <v>326</v>
      </c>
      <c r="I28" s="1" t="s">
        <v>327</v>
      </c>
    </row>
    <row r="29" spans="1:9" ht="34.5" customHeight="1" x14ac:dyDescent="0.3">
      <c r="A29" s="64">
        <v>1</v>
      </c>
      <c r="B29" s="65" t="s">
        <v>328</v>
      </c>
      <c r="C29" s="257">
        <v>1</v>
      </c>
      <c r="D29" s="40">
        <v>2</v>
      </c>
      <c r="E29" s="40">
        <v>2</v>
      </c>
      <c r="F29" s="197">
        <v>92.3</v>
      </c>
      <c r="G29" s="66">
        <f t="shared" ref="G29:G34" si="3">D29*E29*F29</f>
        <v>369.2</v>
      </c>
      <c r="H29" s="66">
        <f t="shared" ref="H29:H34" si="4">TRUNC(($C$29*G29),2)</f>
        <v>369.2</v>
      </c>
      <c r="I29" s="66">
        <f t="shared" ref="I29:I34" si="5">TRUNC((H29/12),2)</f>
        <v>30.76</v>
      </c>
    </row>
    <row r="30" spans="1:9" ht="34.5" customHeight="1" x14ac:dyDescent="0.3">
      <c r="A30" s="64">
        <v>2</v>
      </c>
      <c r="B30" s="65" t="s">
        <v>329</v>
      </c>
      <c r="C30" s="257"/>
      <c r="D30" s="40">
        <v>4</v>
      </c>
      <c r="E30" s="40">
        <v>2</v>
      </c>
      <c r="F30" s="197">
        <v>79.319999999999993</v>
      </c>
      <c r="G30" s="66">
        <f t="shared" si="3"/>
        <v>634.55999999999995</v>
      </c>
      <c r="H30" s="66">
        <f t="shared" si="4"/>
        <v>634.55999999999995</v>
      </c>
      <c r="I30" s="66">
        <f t="shared" si="5"/>
        <v>52.88</v>
      </c>
    </row>
    <row r="31" spans="1:9" x14ac:dyDescent="0.3">
      <c r="A31" s="64">
        <v>3</v>
      </c>
      <c r="B31" s="65" t="s">
        <v>330</v>
      </c>
      <c r="C31" s="257"/>
      <c r="D31" s="40">
        <v>4</v>
      </c>
      <c r="E31" s="40">
        <v>2</v>
      </c>
      <c r="F31" s="197">
        <v>21.25</v>
      </c>
      <c r="G31" s="66">
        <f t="shared" si="3"/>
        <v>170</v>
      </c>
      <c r="H31" s="66">
        <f t="shared" si="4"/>
        <v>170</v>
      </c>
      <c r="I31" s="66">
        <f t="shared" si="5"/>
        <v>14.16</v>
      </c>
    </row>
    <row r="32" spans="1:9" x14ac:dyDescent="0.3">
      <c r="A32" s="64">
        <v>4</v>
      </c>
      <c r="B32" s="67" t="s">
        <v>331</v>
      </c>
      <c r="C32" s="257"/>
      <c r="D32" s="40">
        <v>2</v>
      </c>
      <c r="E32" s="40">
        <v>2</v>
      </c>
      <c r="F32" s="197">
        <v>100.79</v>
      </c>
      <c r="G32" s="66">
        <f t="shared" si="3"/>
        <v>403.16</v>
      </c>
      <c r="H32" s="66">
        <f t="shared" si="4"/>
        <v>403.16</v>
      </c>
      <c r="I32" s="66">
        <f t="shared" si="5"/>
        <v>33.590000000000003</v>
      </c>
    </row>
    <row r="33" spans="1:9" x14ac:dyDescent="0.3">
      <c r="A33" s="64">
        <v>5</v>
      </c>
      <c r="B33" s="67" t="s">
        <v>332</v>
      </c>
      <c r="C33" s="257"/>
      <c r="D33" s="40">
        <v>2</v>
      </c>
      <c r="E33" s="40">
        <v>2</v>
      </c>
      <c r="F33" s="197">
        <v>75.260000000000005</v>
      </c>
      <c r="G33" s="66">
        <f t="shared" si="3"/>
        <v>301.04000000000002</v>
      </c>
      <c r="H33" s="66">
        <f t="shared" si="4"/>
        <v>301.04000000000002</v>
      </c>
      <c r="I33" s="66">
        <f t="shared" si="5"/>
        <v>25.08</v>
      </c>
    </row>
    <row r="34" spans="1:9" x14ac:dyDescent="0.3">
      <c r="A34" s="64">
        <v>6</v>
      </c>
      <c r="B34" s="67" t="s">
        <v>333</v>
      </c>
      <c r="C34" s="257"/>
      <c r="D34" s="40">
        <v>1</v>
      </c>
      <c r="E34" s="40">
        <v>2</v>
      </c>
      <c r="F34" s="197">
        <v>126.77</v>
      </c>
      <c r="G34" s="66">
        <f t="shared" si="3"/>
        <v>253.54</v>
      </c>
      <c r="H34" s="66">
        <f t="shared" si="4"/>
        <v>253.54</v>
      </c>
      <c r="I34" s="66">
        <f t="shared" si="5"/>
        <v>21.12</v>
      </c>
    </row>
    <row r="35" spans="1:9" ht="19.5" customHeight="1" x14ac:dyDescent="0.3">
      <c r="A35" s="68"/>
      <c r="B35" s="256" t="s">
        <v>91</v>
      </c>
      <c r="C35" s="256"/>
      <c r="D35" s="256"/>
      <c r="E35" s="256"/>
      <c r="F35" s="69">
        <f>SUM(F29:F34)</f>
        <v>495.69</v>
      </c>
      <c r="G35" s="80">
        <f>SUM(G29:G34)</f>
        <v>2131.5</v>
      </c>
      <c r="H35" s="80">
        <f>SUM(H29:H34)</f>
        <v>2131.5</v>
      </c>
      <c r="I35" s="80">
        <f>SUM(I29:I34)</f>
        <v>177.58999999999997</v>
      </c>
    </row>
    <row r="36" spans="1:9" x14ac:dyDescent="0.3">
      <c r="A36" s="72"/>
      <c r="B36" s="72"/>
      <c r="C36" s="72"/>
      <c r="D36" s="72"/>
      <c r="E36" s="72"/>
      <c r="F36" s="72"/>
      <c r="G36" s="72"/>
      <c r="H36" s="72"/>
      <c r="I36" s="72"/>
    </row>
    <row r="37" spans="1:9" x14ac:dyDescent="0.3">
      <c r="A37" s="249" t="s">
        <v>344</v>
      </c>
      <c r="B37" s="249"/>
      <c r="C37" s="249"/>
      <c r="D37" s="249"/>
      <c r="E37" s="249"/>
      <c r="F37" s="249"/>
      <c r="G37" s="249"/>
      <c r="H37" s="249"/>
      <c r="I37" s="249"/>
    </row>
    <row r="38" spans="1:9" ht="52.5" customHeight="1" x14ac:dyDescent="0.3">
      <c r="A38" s="1" t="s">
        <v>1</v>
      </c>
      <c r="B38" s="1" t="s">
        <v>320</v>
      </c>
      <c r="C38" s="1" t="s">
        <v>321</v>
      </c>
      <c r="D38" s="1" t="s">
        <v>322</v>
      </c>
      <c r="E38" s="1" t="s">
        <v>323</v>
      </c>
      <c r="F38" s="1" t="s">
        <v>324</v>
      </c>
      <c r="G38" s="1" t="s">
        <v>325</v>
      </c>
      <c r="H38" s="1" t="s">
        <v>326</v>
      </c>
      <c r="I38" s="1" t="s">
        <v>327</v>
      </c>
    </row>
    <row r="39" spans="1:9" ht="59.25" customHeight="1" x14ac:dyDescent="0.3">
      <c r="A39" s="64">
        <v>1</v>
      </c>
      <c r="B39" s="65" t="s">
        <v>335</v>
      </c>
      <c r="C39" s="257">
        <v>1</v>
      </c>
      <c r="D39" s="40">
        <v>4</v>
      </c>
      <c r="E39" s="40">
        <v>2</v>
      </c>
      <c r="F39" s="197">
        <v>79.86</v>
      </c>
      <c r="G39" s="66">
        <f>D39*E39*F39</f>
        <v>638.88</v>
      </c>
      <c r="H39" s="66">
        <f>TRUNC(($C$39*G39),2)</f>
        <v>638.88</v>
      </c>
      <c r="I39" s="66">
        <f>TRUNC((H39/12),2)</f>
        <v>53.24</v>
      </c>
    </row>
    <row r="40" spans="1:9" ht="57" customHeight="1" x14ac:dyDescent="0.3">
      <c r="A40" s="64">
        <v>2</v>
      </c>
      <c r="B40" s="65" t="s">
        <v>336</v>
      </c>
      <c r="C40" s="257"/>
      <c r="D40" s="40">
        <v>2</v>
      </c>
      <c r="E40" s="40">
        <v>2</v>
      </c>
      <c r="F40" s="197">
        <v>85.72</v>
      </c>
      <c r="G40" s="66">
        <f>D40*E40*F40</f>
        <v>342.88</v>
      </c>
      <c r="H40" s="66">
        <f>TRUNC(($C$39*G40),2)</f>
        <v>342.88</v>
      </c>
      <c r="I40" s="66">
        <f>TRUNC((H40/12),2)</f>
        <v>28.57</v>
      </c>
    </row>
    <row r="41" spans="1:9" x14ac:dyDescent="0.3">
      <c r="A41" s="64">
        <v>3</v>
      </c>
      <c r="B41" s="65" t="s">
        <v>337</v>
      </c>
      <c r="C41" s="257"/>
      <c r="D41" s="40">
        <v>4</v>
      </c>
      <c r="E41" s="40">
        <v>2</v>
      </c>
      <c r="F41" s="197">
        <v>27.15</v>
      </c>
      <c r="G41" s="66">
        <f>D41*E41*F41</f>
        <v>217.2</v>
      </c>
      <c r="H41" s="66">
        <f>TRUNC(($C$39*G41),2)</f>
        <v>217.2</v>
      </c>
      <c r="I41" s="66">
        <f>TRUNC((H41/12),2)</f>
        <v>18.100000000000001</v>
      </c>
    </row>
    <row r="42" spans="1:9" ht="27.75" customHeight="1" x14ac:dyDescent="0.3">
      <c r="A42" s="64">
        <v>4</v>
      </c>
      <c r="B42" s="65" t="s">
        <v>338</v>
      </c>
      <c r="C42" s="257"/>
      <c r="D42" s="40">
        <v>2</v>
      </c>
      <c r="E42" s="40">
        <v>2</v>
      </c>
      <c r="F42" s="197">
        <v>142.19999999999999</v>
      </c>
      <c r="G42" s="66">
        <f>D42*E42*F42</f>
        <v>568.79999999999995</v>
      </c>
      <c r="H42" s="66">
        <f>TRUNC(($C$39*G42),2)</f>
        <v>568.79999999999995</v>
      </c>
      <c r="I42" s="66">
        <f>TRUNC((H42/12),2)</f>
        <v>47.4</v>
      </c>
    </row>
    <row r="43" spans="1:9" x14ac:dyDescent="0.3">
      <c r="A43" s="64">
        <v>5</v>
      </c>
      <c r="B43" s="67" t="s">
        <v>339</v>
      </c>
      <c r="C43" s="257"/>
      <c r="D43" s="40">
        <v>1</v>
      </c>
      <c r="E43" s="40">
        <v>2</v>
      </c>
      <c r="F43" s="197">
        <v>126.77</v>
      </c>
      <c r="G43" s="66">
        <f>D43*E43*F43</f>
        <v>253.54</v>
      </c>
      <c r="H43" s="66">
        <f>TRUNC(($C$39*G43),2)</f>
        <v>253.54</v>
      </c>
      <c r="I43" s="66">
        <f>TRUNC((H43/12),2)</f>
        <v>21.12</v>
      </c>
    </row>
    <row r="44" spans="1:9" x14ac:dyDescent="0.3">
      <c r="A44" s="68"/>
      <c r="B44" s="256" t="s">
        <v>91</v>
      </c>
      <c r="C44" s="256"/>
      <c r="D44" s="256"/>
      <c r="E44" s="256"/>
      <c r="F44" s="69">
        <f>SUM(F39:F43)</f>
        <v>461.69999999999993</v>
      </c>
      <c r="G44" s="69">
        <f>SUM(G39:G43)</f>
        <v>2021.3</v>
      </c>
      <c r="H44" s="69">
        <f>SUM(H39:H43)</f>
        <v>2021.3</v>
      </c>
      <c r="I44" s="70">
        <f>SUM(I39:I43)</f>
        <v>168.43</v>
      </c>
    </row>
    <row r="45" spans="1:9" x14ac:dyDescent="0.3">
      <c r="A45" s="72"/>
      <c r="B45" s="72"/>
      <c r="C45" s="72"/>
      <c r="D45" s="72"/>
      <c r="E45" s="72"/>
      <c r="F45" s="72"/>
      <c r="G45" s="72"/>
      <c r="H45" s="72"/>
      <c r="I45" s="72"/>
    </row>
    <row r="46" spans="1:9" x14ac:dyDescent="0.3">
      <c r="A46" s="249" t="s">
        <v>345</v>
      </c>
      <c r="B46" s="249"/>
      <c r="C46" s="249"/>
      <c r="D46" s="249"/>
      <c r="E46" s="249"/>
      <c r="F46" s="249"/>
      <c r="G46" s="249"/>
      <c r="H46" s="249"/>
      <c r="I46" s="249"/>
    </row>
    <row r="47" spans="1:9" ht="50.25" customHeight="1" x14ac:dyDescent="0.3">
      <c r="A47" s="1" t="s">
        <v>1</v>
      </c>
      <c r="B47" s="1" t="s">
        <v>320</v>
      </c>
      <c r="C47" s="1" t="s">
        <v>321</v>
      </c>
      <c r="D47" s="1" t="s">
        <v>322</v>
      </c>
      <c r="E47" s="1" t="s">
        <v>323</v>
      </c>
      <c r="F47" s="1" t="s">
        <v>324</v>
      </c>
      <c r="G47" s="1" t="s">
        <v>325</v>
      </c>
      <c r="H47" s="1" t="s">
        <v>326</v>
      </c>
      <c r="I47" s="1" t="s">
        <v>327</v>
      </c>
    </row>
    <row r="48" spans="1:9" ht="15" customHeight="1" x14ac:dyDescent="0.3">
      <c r="A48" s="64" t="s">
        <v>341</v>
      </c>
      <c r="B48" s="222" t="s">
        <v>342</v>
      </c>
      <c r="C48" s="222"/>
      <c r="D48" s="222"/>
      <c r="E48" s="222"/>
      <c r="F48" s="55">
        <f>F35+F44</f>
        <v>957.38999999999987</v>
      </c>
      <c r="G48" s="55">
        <f>G35+G44</f>
        <v>4152.8</v>
      </c>
      <c r="H48" s="55">
        <f>H35+H44</f>
        <v>4152.8</v>
      </c>
      <c r="I48" s="199">
        <f>TRUNC(((I35+I44)/2),2)</f>
        <v>173.01</v>
      </c>
    </row>
    <row r="49" spans="1:9" x14ac:dyDescent="0.3">
      <c r="A49" s="72"/>
      <c r="B49" s="72"/>
      <c r="C49" s="72"/>
      <c r="D49" s="72"/>
      <c r="E49" s="72"/>
      <c r="F49" s="72"/>
      <c r="G49" s="72"/>
      <c r="H49" s="72"/>
      <c r="I49" s="72"/>
    </row>
    <row r="50" spans="1:9" x14ac:dyDescent="0.3">
      <c r="A50" s="249" t="s">
        <v>346</v>
      </c>
      <c r="B50" s="249"/>
      <c r="C50" s="249"/>
      <c r="D50" s="249"/>
      <c r="E50" s="249"/>
      <c r="F50" s="249"/>
      <c r="G50" s="249"/>
      <c r="H50" s="249"/>
      <c r="I50" s="249"/>
    </row>
    <row r="51" spans="1:9" ht="47.25" customHeight="1" x14ac:dyDescent="0.3">
      <c r="A51" s="1" t="s">
        <v>1</v>
      </c>
      <c r="B51" s="1" t="s">
        <v>320</v>
      </c>
      <c r="C51" s="1" t="s">
        <v>321</v>
      </c>
      <c r="D51" s="1" t="s">
        <v>322</v>
      </c>
      <c r="E51" s="1" t="s">
        <v>323</v>
      </c>
      <c r="F51" s="1" t="s">
        <v>324</v>
      </c>
      <c r="G51" s="1" t="s">
        <v>325</v>
      </c>
      <c r="H51" s="1" t="s">
        <v>326</v>
      </c>
      <c r="I51" s="1" t="s">
        <v>327</v>
      </c>
    </row>
    <row r="52" spans="1:9" ht="29.25" customHeight="1" x14ac:dyDescent="0.3">
      <c r="A52" s="64">
        <v>1</v>
      </c>
      <c r="B52" s="65" t="s">
        <v>328</v>
      </c>
      <c r="C52" s="257">
        <v>1</v>
      </c>
      <c r="D52" s="40">
        <v>2</v>
      </c>
      <c r="E52" s="40">
        <v>2</v>
      </c>
      <c r="F52" s="197">
        <v>92.3</v>
      </c>
      <c r="G52" s="66">
        <f t="shared" ref="G52:G57" si="6">D52*E52*F52</f>
        <v>369.2</v>
      </c>
      <c r="H52" s="66">
        <f t="shared" ref="H52:H57" si="7">TRUNC(($C$52*G52),2)</f>
        <v>369.2</v>
      </c>
      <c r="I52" s="66">
        <f t="shared" ref="I52:I57" si="8">TRUNC((H52/12),2)</f>
        <v>30.76</v>
      </c>
    </row>
    <row r="53" spans="1:9" ht="30.75" customHeight="1" x14ac:dyDescent="0.3">
      <c r="A53" s="64">
        <v>2</v>
      </c>
      <c r="B53" s="65" t="s">
        <v>329</v>
      </c>
      <c r="C53" s="257"/>
      <c r="D53" s="40">
        <v>4</v>
      </c>
      <c r="E53" s="40">
        <v>2</v>
      </c>
      <c r="F53" s="197">
        <v>79.319999999999993</v>
      </c>
      <c r="G53" s="66">
        <f t="shared" si="6"/>
        <v>634.55999999999995</v>
      </c>
      <c r="H53" s="66">
        <f t="shared" si="7"/>
        <v>634.55999999999995</v>
      </c>
      <c r="I53" s="66">
        <f t="shared" si="8"/>
        <v>52.88</v>
      </c>
    </row>
    <row r="54" spans="1:9" x14ac:dyDescent="0.3">
      <c r="A54" s="64">
        <v>3</v>
      </c>
      <c r="B54" s="65" t="s">
        <v>330</v>
      </c>
      <c r="C54" s="257"/>
      <c r="D54" s="40">
        <v>4</v>
      </c>
      <c r="E54" s="40">
        <v>2</v>
      </c>
      <c r="F54" s="197">
        <v>21.25</v>
      </c>
      <c r="G54" s="66">
        <f t="shared" si="6"/>
        <v>170</v>
      </c>
      <c r="H54" s="66">
        <f t="shared" si="7"/>
        <v>170</v>
      </c>
      <c r="I54" s="66">
        <f t="shared" si="8"/>
        <v>14.16</v>
      </c>
    </row>
    <row r="55" spans="1:9" x14ac:dyDescent="0.3">
      <c r="A55" s="64">
        <v>4</v>
      </c>
      <c r="B55" s="67" t="s">
        <v>331</v>
      </c>
      <c r="C55" s="257"/>
      <c r="D55" s="40">
        <v>2</v>
      </c>
      <c r="E55" s="40">
        <v>2</v>
      </c>
      <c r="F55" s="197">
        <v>100.79</v>
      </c>
      <c r="G55" s="66">
        <f t="shared" si="6"/>
        <v>403.16</v>
      </c>
      <c r="H55" s="66">
        <f t="shared" si="7"/>
        <v>403.16</v>
      </c>
      <c r="I55" s="66">
        <f t="shared" si="8"/>
        <v>33.590000000000003</v>
      </c>
    </row>
    <row r="56" spans="1:9" x14ac:dyDescent="0.3">
      <c r="A56" s="64">
        <v>5</v>
      </c>
      <c r="B56" s="67" t="s">
        <v>332</v>
      </c>
      <c r="C56" s="257"/>
      <c r="D56" s="40">
        <v>2</v>
      </c>
      <c r="E56" s="40">
        <v>2</v>
      </c>
      <c r="F56" s="197">
        <v>75.260000000000005</v>
      </c>
      <c r="G56" s="66">
        <f t="shared" si="6"/>
        <v>301.04000000000002</v>
      </c>
      <c r="H56" s="66">
        <f t="shared" si="7"/>
        <v>301.04000000000002</v>
      </c>
      <c r="I56" s="66">
        <f t="shared" si="8"/>
        <v>25.08</v>
      </c>
    </row>
    <row r="57" spans="1:9" x14ac:dyDescent="0.3">
      <c r="A57" s="64">
        <v>6</v>
      </c>
      <c r="B57" s="67" t="s">
        <v>333</v>
      </c>
      <c r="C57" s="257"/>
      <c r="D57" s="40">
        <v>1</v>
      </c>
      <c r="E57" s="40">
        <v>2</v>
      </c>
      <c r="F57" s="197">
        <v>126.77</v>
      </c>
      <c r="G57" s="66">
        <f t="shared" si="6"/>
        <v>253.54</v>
      </c>
      <c r="H57" s="66">
        <f t="shared" si="7"/>
        <v>253.54</v>
      </c>
      <c r="I57" s="66">
        <f t="shared" si="8"/>
        <v>21.12</v>
      </c>
    </row>
    <row r="58" spans="1:9" x14ac:dyDescent="0.3">
      <c r="A58" s="68"/>
      <c r="B58" s="256" t="s">
        <v>91</v>
      </c>
      <c r="C58" s="256"/>
      <c r="D58" s="256"/>
      <c r="E58" s="256"/>
      <c r="F58" s="69">
        <f>SUM(F52:F57)</f>
        <v>495.69</v>
      </c>
      <c r="G58" s="80">
        <f>SUM(G52:G57)</f>
        <v>2131.5</v>
      </c>
      <c r="H58" s="80">
        <f>SUM(H52:H57)</f>
        <v>2131.5</v>
      </c>
      <c r="I58" s="73">
        <f>SUM(I52:I57)</f>
        <v>177.58999999999997</v>
      </c>
    </row>
    <row r="59" spans="1:9" x14ac:dyDescent="0.3">
      <c r="A59" s="72"/>
      <c r="B59" s="72"/>
      <c r="C59" s="72"/>
      <c r="D59" s="72"/>
      <c r="E59" s="72"/>
      <c r="F59" s="72"/>
      <c r="G59" s="72"/>
      <c r="H59" s="72"/>
      <c r="I59" s="72"/>
    </row>
    <row r="60" spans="1:9" x14ac:dyDescent="0.3">
      <c r="A60" s="249" t="s">
        <v>347</v>
      </c>
      <c r="B60" s="249"/>
      <c r="C60" s="249"/>
      <c r="D60" s="249"/>
      <c r="E60" s="249"/>
      <c r="F60" s="249"/>
      <c r="G60" s="249"/>
      <c r="H60" s="249"/>
      <c r="I60" s="249"/>
    </row>
    <row r="61" spans="1:9" ht="45.75" customHeight="1" x14ac:dyDescent="0.3">
      <c r="A61" s="1" t="s">
        <v>1</v>
      </c>
      <c r="B61" s="1" t="s">
        <v>320</v>
      </c>
      <c r="C61" s="1" t="s">
        <v>321</v>
      </c>
      <c r="D61" s="1" t="s">
        <v>322</v>
      </c>
      <c r="E61" s="1" t="s">
        <v>323</v>
      </c>
      <c r="F61" s="1" t="s">
        <v>324</v>
      </c>
      <c r="G61" s="1" t="s">
        <v>325</v>
      </c>
      <c r="H61" s="1" t="s">
        <v>326</v>
      </c>
      <c r="I61" s="1" t="s">
        <v>327</v>
      </c>
    </row>
    <row r="62" spans="1:9" ht="63" customHeight="1" x14ac:dyDescent="0.3">
      <c r="A62" s="64">
        <v>1</v>
      </c>
      <c r="B62" s="65" t="s">
        <v>335</v>
      </c>
      <c r="C62" s="257">
        <v>1</v>
      </c>
      <c r="D62" s="40">
        <v>4</v>
      </c>
      <c r="E62" s="40">
        <v>2</v>
      </c>
      <c r="F62" s="197">
        <v>79.86</v>
      </c>
      <c r="G62" s="66">
        <f>D62*E62*F62</f>
        <v>638.88</v>
      </c>
      <c r="H62" s="66">
        <f>TRUNC(($C$62*G62),2)</f>
        <v>638.88</v>
      </c>
      <c r="I62" s="66">
        <f>TRUNC((H62/12),2)</f>
        <v>53.24</v>
      </c>
    </row>
    <row r="63" spans="1:9" ht="57" customHeight="1" x14ac:dyDescent="0.3">
      <c r="A63" s="64">
        <v>2</v>
      </c>
      <c r="B63" s="65" t="s">
        <v>336</v>
      </c>
      <c r="C63" s="257"/>
      <c r="D63" s="40">
        <v>2</v>
      </c>
      <c r="E63" s="40">
        <v>2</v>
      </c>
      <c r="F63" s="197">
        <v>85.72</v>
      </c>
      <c r="G63" s="66">
        <f>D63*E63*F63</f>
        <v>342.88</v>
      </c>
      <c r="H63" s="66">
        <f>TRUNC(($C$62*G63),2)</f>
        <v>342.88</v>
      </c>
      <c r="I63" s="66">
        <f>TRUNC((H63/12),2)</f>
        <v>28.57</v>
      </c>
    </row>
    <row r="64" spans="1:9" x14ac:dyDescent="0.3">
      <c r="A64" s="64">
        <v>3</v>
      </c>
      <c r="B64" s="65" t="s">
        <v>337</v>
      </c>
      <c r="C64" s="257"/>
      <c r="D64" s="40">
        <v>4</v>
      </c>
      <c r="E64" s="40">
        <v>2</v>
      </c>
      <c r="F64" s="197">
        <v>27.15</v>
      </c>
      <c r="G64" s="66">
        <f>D64*E64*F64</f>
        <v>217.2</v>
      </c>
      <c r="H64" s="66">
        <f>TRUNC(($C$62*G64),2)</f>
        <v>217.2</v>
      </c>
      <c r="I64" s="66">
        <f>TRUNC((H64/12),2)</f>
        <v>18.100000000000001</v>
      </c>
    </row>
    <row r="65" spans="1:9" ht="29.25" customHeight="1" x14ac:dyDescent="0.3">
      <c r="A65" s="64">
        <v>4</v>
      </c>
      <c r="B65" s="65" t="s">
        <v>338</v>
      </c>
      <c r="C65" s="257"/>
      <c r="D65" s="40">
        <v>2</v>
      </c>
      <c r="E65" s="40">
        <v>2</v>
      </c>
      <c r="F65" s="197">
        <v>142.19999999999999</v>
      </c>
      <c r="G65" s="66">
        <f>D65*E65*F65</f>
        <v>568.79999999999995</v>
      </c>
      <c r="H65" s="66">
        <f>TRUNC(($C$62*G65),2)</f>
        <v>568.79999999999995</v>
      </c>
      <c r="I65" s="66">
        <f>TRUNC((H65/12),2)</f>
        <v>47.4</v>
      </c>
    </row>
    <row r="66" spans="1:9" x14ac:dyDescent="0.3">
      <c r="A66" s="64">
        <v>5</v>
      </c>
      <c r="B66" s="67" t="s">
        <v>339</v>
      </c>
      <c r="C66" s="257"/>
      <c r="D66" s="40">
        <v>1</v>
      </c>
      <c r="E66" s="40">
        <v>2</v>
      </c>
      <c r="F66" s="197">
        <v>126.77</v>
      </c>
      <c r="G66" s="66">
        <f>D66*E66*F66</f>
        <v>253.54</v>
      </c>
      <c r="H66" s="66">
        <f>TRUNC(($C$62*G66),2)</f>
        <v>253.54</v>
      </c>
      <c r="I66" s="66">
        <f>TRUNC((H66/12),2)</f>
        <v>21.12</v>
      </c>
    </row>
    <row r="67" spans="1:9" x14ac:dyDescent="0.3">
      <c r="A67" s="68"/>
      <c r="B67" s="256" t="s">
        <v>91</v>
      </c>
      <c r="C67" s="256"/>
      <c r="D67" s="256"/>
      <c r="E67" s="256"/>
      <c r="F67" s="69">
        <f>SUM(F62:F66)</f>
        <v>461.69999999999993</v>
      </c>
      <c r="G67" s="69">
        <f>SUM(G62:G66)</f>
        <v>2021.3</v>
      </c>
      <c r="H67" s="69">
        <f>SUM(H62:H66)</f>
        <v>2021.3</v>
      </c>
      <c r="I67" s="70">
        <f>SUM(I62:I66)</f>
        <v>168.43</v>
      </c>
    </row>
    <row r="68" spans="1:9" x14ac:dyDescent="0.3">
      <c r="A68" s="72"/>
      <c r="B68" s="72"/>
      <c r="C68" s="72"/>
      <c r="D68" s="72"/>
      <c r="E68" s="72"/>
      <c r="F68" s="72"/>
      <c r="G68" s="72"/>
      <c r="H68" s="72"/>
      <c r="I68" s="72"/>
    </row>
    <row r="69" spans="1:9" x14ac:dyDescent="0.3">
      <c r="A69" s="249" t="s">
        <v>348</v>
      </c>
      <c r="B69" s="249"/>
      <c r="C69" s="249"/>
      <c r="D69" s="249"/>
      <c r="E69" s="249"/>
      <c r="F69" s="249"/>
      <c r="G69" s="249"/>
      <c r="H69" s="249"/>
      <c r="I69" s="249"/>
    </row>
    <row r="70" spans="1:9" ht="48" customHeight="1" x14ac:dyDescent="0.3">
      <c r="A70" s="1" t="s">
        <v>1</v>
      </c>
      <c r="B70" s="1" t="s">
        <v>320</v>
      </c>
      <c r="C70" s="1" t="s">
        <v>321</v>
      </c>
      <c r="D70" s="1" t="s">
        <v>322</v>
      </c>
      <c r="E70" s="1" t="s">
        <v>323</v>
      </c>
      <c r="F70" s="1" t="s">
        <v>324</v>
      </c>
      <c r="G70" s="1" t="s">
        <v>325</v>
      </c>
      <c r="H70" s="1" t="s">
        <v>326</v>
      </c>
      <c r="I70" s="1" t="s">
        <v>327</v>
      </c>
    </row>
    <row r="71" spans="1:9" ht="16.5" customHeight="1" x14ac:dyDescent="0.3">
      <c r="A71" s="64" t="s">
        <v>341</v>
      </c>
      <c r="B71" s="222" t="s">
        <v>342</v>
      </c>
      <c r="C71" s="222"/>
      <c r="D71" s="222"/>
      <c r="E71" s="222"/>
      <c r="F71" s="55">
        <f>F58+F67</f>
        <v>957.38999999999987</v>
      </c>
      <c r="G71" s="55">
        <f>G58+G67</f>
        <v>4152.8</v>
      </c>
      <c r="H71" s="55">
        <f>H58+H67</f>
        <v>4152.8</v>
      </c>
      <c r="I71" s="199">
        <f>TRUNC(((I58+I67)/2),2)</f>
        <v>173.01</v>
      </c>
    </row>
    <row r="72" spans="1:9" x14ac:dyDescent="0.3">
      <c r="A72" s="72"/>
      <c r="B72" s="72"/>
      <c r="C72" s="72"/>
      <c r="D72" s="72"/>
      <c r="E72" s="72"/>
      <c r="F72" s="72"/>
      <c r="G72" s="72"/>
      <c r="H72" s="72"/>
      <c r="I72" s="72"/>
    </row>
    <row r="73" spans="1:9" x14ac:dyDescent="0.3">
      <c r="A73" s="72"/>
      <c r="B73" s="72"/>
      <c r="C73" s="72"/>
      <c r="D73" s="72"/>
      <c r="E73" s="72"/>
      <c r="F73" s="72"/>
      <c r="G73" s="72"/>
      <c r="H73" s="72"/>
      <c r="I73" s="72"/>
    </row>
    <row r="74" spans="1:9" x14ac:dyDescent="0.3">
      <c r="A74" s="249" t="s">
        <v>349</v>
      </c>
      <c r="B74" s="249"/>
      <c r="C74" s="249"/>
      <c r="D74" s="249"/>
      <c r="E74" s="249"/>
      <c r="F74" s="249"/>
      <c r="G74" s="249"/>
      <c r="H74" s="249"/>
      <c r="I74" s="249"/>
    </row>
    <row r="75" spans="1:9" ht="48.75" customHeight="1" x14ac:dyDescent="0.3">
      <c r="A75" s="1" t="s">
        <v>1</v>
      </c>
      <c r="B75" s="1" t="s">
        <v>320</v>
      </c>
      <c r="C75" s="1" t="s">
        <v>321</v>
      </c>
      <c r="D75" s="1" t="s">
        <v>322</v>
      </c>
      <c r="E75" s="1" t="s">
        <v>323</v>
      </c>
      <c r="F75" s="1" t="s">
        <v>324</v>
      </c>
      <c r="G75" s="1" t="s">
        <v>325</v>
      </c>
      <c r="H75" s="1" t="s">
        <v>326</v>
      </c>
      <c r="I75" s="1" t="s">
        <v>327</v>
      </c>
    </row>
    <row r="76" spans="1:9" ht="32.25" customHeight="1" x14ac:dyDescent="0.3">
      <c r="A76" s="64">
        <v>1</v>
      </c>
      <c r="B76" s="65" t="s">
        <v>328</v>
      </c>
      <c r="C76" s="257">
        <v>5</v>
      </c>
      <c r="D76" s="40">
        <v>2</v>
      </c>
      <c r="E76" s="40">
        <v>2</v>
      </c>
      <c r="F76" s="197">
        <v>92.3</v>
      </c>
      <c r="G76" s="66">
        <f t="shared" ref="G76:G81" si="9">D76*E76*F76</f>
        <v>369.2</v>
      </c>
      <c r="H76" s="66">
        <f t="shared" ref="H76:H81" si="10">TRUNC(($C$76*G76),2)</f>
        <v>1846</v>
      </c>
      <c r="I76" s="66">
        <f t="shared" ref="I76:I81" si="11">TRUNC((H76/12),2)</f>
        <v>153.83000000000001</v>
      </c>
    </row>
    <row r="77" spans="1:9" ht="30.75" customHeight="1" x14ac:dyDescent="0.3">
      <c r="A77" s="64">
        <v>2</v>
      </c>
      <c r="B77" s="65" t="s">
        <v>329</v>
      </c>
      <c r="C77" s="257"/>
      <c r="D77" s="40">
        <v>4</v>
      </c>
      <c r="E77" s="40">
        <v>2</v>
      </c>
      <c r="F77" s="197">
        <v>79.319999999999993</v>
      </c>
      <c r="G77" s="66">
        <f t="shared" si="9"/>
        <v>634.55999999999995</v>
      </c>
      <c r="H77" s="66">
        <f t="shared" si="10"/>
        <v>3172.8</v>
      </c>
      <c r="I77" s="66">
        <f t="shared" si="11"/>
        <v>264.39999999999998</v>
      </c>
    </row>
    <row r="78" spans="1:9" x14ac:dyDescent="0.3">
      <c r="A78" s="64">
        <v>3</v>
      </c>
      <c r="B78" s="65" t="s">
        <v>330</v>
      </c>
      <c r="C78" s="257"/>
      <c r="D78" s="40">
        <v>4</v>
      </c>
      <c r="E78" s="40">
        <v>2</v>
      </c>
      <c r="F78" s="197">
        <v>21.25</v>
      </c>
      <c r="G78" s="66">
        <f t="shared" si="9"/>
        <v>170</v>
      </c>
      <c r="H78" s="66">
        <f t="shared" si="10"/>
        <v>850</v>
      </c>
      <c r="I78" s="66">
        <f t="shared" si="11"/>
        <v>70.83</v>
      </c>
    </row>
    <row r="79" spans="1:9" x14ac:dyDescent="0.3">
      <c r="A79" s="64">
        <v>4</v>
      </c>
      <c r="B79" s="67" t="s">
        <v>331</v>
      </c>
      <c r="C79" s="257"/>
      <c r="D79" s="40">
        <v>2</v>
      </c>
      <c r="E79" s="40">
        <v>2</v>
      </c>
      <c r="F79" s="197">
        <v>100.79</v>
      </c>
      <c r="G79" s="66">
        <f t="shared" si="9"/>
        <v>403.16</v>
      </c>
      <c r="H79" s="66">
        <f t="shared" si="10"/>
        <v>2015.8</v>
      </c>
      <c r="I79" s="66">
        <f t="shared" si="11"/>
        <v>167.98</v>
      </c>
    </row>
    <row r="80" spans="1:9" x14ac:dyDescent="0.3">
      <c r="A80" s="64">
        <v>5</v>
      </c>
      <c r="B80" s="67" t="s">
        <v>332</v>
      </c>
      <c r="C80" s="257"/>
      <c r="D80" s="40">
        <v>2</v>
      </c>
      <c r="E80" s="40">
        <v>2</v>
      </c>
      <c r="F80" s="197">
        <v>75.260000000000005</v>
      </c>
      <c r="G80" s="66">
        <f t="shared" si="9"/>
        <v>301.04000000000002</v>
      </c>
      <c r="H80" s="66">
        <f t="shared" si="10"/>
        <v>1505.2</v>
      </c>
      <c r="I80" s="66">
        <f t="shared" si="11"/>
        <v>125.43</v>
      </c>
    </row>
    <row r="81" spans="1:9" x14ac:dyDescent="0.3">
      <c r="A81" s="64">
        <v>6</v>
      </c>
      <c r="B81" s="67" t="s">
        <v>333</v>
      </c>
      <c r="C81" s="257"/>
      <c r="D81" s="40">
        <v>1</v>
      </c>
      <c r="E81" s="40">
        <v>2</v>
      </c>
      <c r="F81" s="197">
        <v>126.77</v>
      </c>
      <c r="G81" s="66">
        <f t="shared" si="9"/>
        <v>253.54</v>
      </c>
      <c r="H81" s="66">
        <f t="shared" si="10"/>
        <v>1267.7</v>
      </c>
      <c r="I81" s="66">
        <f t="shared" si="11"/>
        <v>105.64</v>
      </c>
    </row>
    <row r="82" spans="1:9" x14ac:dyDescent="0.3">
      <c r="A82" s="71"/>
      <c r="B82" s="256" t="s">
        <v>91</v>
      </c>
      <c r="C82" s="256"/>
      <c r="D82" s="256"/>
      <c r="E82" s="256"/>
      <c r="F82" s="69">
        <f>SUM(F76:F81)</f>
        <v>495.69</v>
      </c>
      <c r="G82" s="69">
        <f>SUM(G76:G81)</f>
        <v>2131.5</v>
      </c>
      <c r="H82" s="69">
        <f>SUM(H76:H81)</f>
        <v>10657.500000000002</v>
      </c>
      <c r="I82" s="70">
        <f>SUM(I76:I81)</f>
        <v>888.11</v>
      </c>
    </row>
    <row r="83" spans="1:9" x14ac:dyDescent="0.3">
      <c r="A83" s="72"/>
      <c r="B83" s="72"/>
      <c r="C83" s="72"/>
      <c r="D83" s="72"/>
      <c r="E83" s="72"/>
      <c r="F83" s="72"/>
      <c r="G83" s="72"/>
      <c r="H83" s="72"/>
      <c r="I83" s="72"/>
    </row>
    <row r="84" spans="1:9" x14ac:dyDescent="0.3">
      <c r="A84" s="249" t="s">
        <v>350</v>
      </c>
      <c r="B84" s="249"/>
      <c r="C84" s="249"/>
      <c r="D84" s="249"/>
      <c r="E84" s="249"/>
      <c r="F84" s="249"/>
      <c r="G84" s="249"/>
      <c r="H84" s="249"/>
      <c r="I84" s="249"/>
    </row>
    <row r="85" spans="1:9" ht="46.5" customHeight="1" x14ac:dyDescent="0.3">
      <c r="A85" s="1" t="s">
        <v>1</v>
      </c>
      <c r="B85" s="1" t="s">
        <v>320</v>
      </c>
      <c r="C85" s="1" t="s">
        <v>321</v>
      </c>
      <c r="D85" s="1" t="s">
        <v>322</v>
      </c>
      <c r="E85" s="1" t="s">
        <v>323</v>
      </c>
      <c r="F85" s="1" t="s">
        <v>324</v>
      </c>
      <c r="G85" s="1" t="s">
        <v>325</v>
      </c>
      <c r="H85" s="1" t="s">
        <v>326</v>
      </c>
      <c r="I85" s="1" t="s">
        <v>327</v>
      </c>
    </row>
    <row r="86" spans="1:9" ht="69.75" customHeight="1" x14ac:dyDescent="0.3">
      <c r="A86" s="64">
        <v>1</v>
      </c>
      <c r="B86" s="65" t="s">
        <v>335</v>
      </c>
      <c r="C86" s="257">
        <v>5</v>
      </c>
      <c r="D86" s="40">
        <v>4</v>
      </c>
      <c r="E86" s="40">
        <v>2</v>
      </c>
      <c r="F86" s="197">
        <v>79.86</v>
      </c>
      <c r="G86" s="66">
        <f>D86*E86*F86</f>
        <v>638.88</v>
      </c>
      <c r="H86" s="66">
        <f>TRUNC(($C$86*G86),2)</f>
        <v>3194.4</v>
      </c>
      <c r="I86" s="66">
        <f>TRUNC((H86/12),2)</f>
        <v>266.2</v>
      </c>
    </row>
    <row r="87" spans="1:9" ht="57" customHeight="1" x14ac:dyDescent="0.3">
      <c r="A87" s="64">
        <v>2</v>
      </c>
      <c r="B87" s="65" t="s">
        <v>336</v>
      </c>
      <c r="C87" s="257"/>
      <c r="D87" s="40">
        <v>2</v>
      </c>
      <c r="E87" s="40">
        <v>2</v>
      </c>
      <c r="F87" s="197">
        <v>85.72</v>
      </c>
      <c r="G87" s="66">
        <f>D87*E87*F87</f>
        <v>342.88</v>
      </c>
      <c r="H87" s="66">
        <f>TRUNC(($C$86*G87),2)</f>
        <v>1714.4</v>
      </c>
      <c r="I87" s="66">
        <f>TRUNC((H87/12),2)</f>
        <v>142.86000000000001</v>
      </c>
    </row>
    <row r="88" spans="1:9" x14ac:dyDescent="0.3">
      <c r="A88" s="64">
        <v>3</v>
      </c>
      <c r="B88" s="65" t="s">
        <v>337</v>
      </c>
      <c r="C88" s="257"/>
      <c r="D88" s="40">
        <v>4</v>
      </c>
      <c r="E88" s="40">
        <v>2</v>
      </c>
      <c r="F88" s="197">
        <v>27.15</v>
      </c>
      <c r="G88" s="66">
        <f>D88*E88*F88</f>
        <v>217.2</v>
      </c>
      <c r="H88" s="66">
        <f>TRUNC(($C$86*G88),2)</f>
        <v>1086</v>
      </c>
      <c r="I88" s="66">
        <f>TRUNC((H88/12),2)</f>
        <v>90.5</v>
      </c>
    </row>
    <row r="89" spans="1:9" ht="30" customHeight="1" x14ac:dyDescent="0.3">
      <c r="A89" s="64">
        <v>4</v>
      </c>
      <c r="B89" s="65" t="s">
        <v>338</v>
      </c>
      <c r="C89" s="257"/>
      <c r="D89" s="40">
        <v>2</v>
      </c>
      <c r="E89" s="40">
        <v>2</v>
      </c>
      <c r="F89" s="197">
        <v>142.19999999999999</v>
      </c>
      <c r="G89" s="66">
        <f>D89*E89*F89</f>
        <v>568.79999999999995</v>
      </c>
      <c r="H89" s="66">
        <f>TRUNC(($C$86*G89),2)</f>
        <v>2844</v>
      </c>
      <c r="I89" s="66">
        <f>TRUNC((H89/12),2)</f>
        <v>237</v>
      </c>
    </row>
    <row r="90" spans="1:9" x14ac:dyDescent="0.3">
      <c r="A90" s="64">
        <v>5</v>
      </c>
      <c r="B90" s="67" t="s">
        <v>339</v>
      </c>
      <c r="C90" s="257"/>
      <c r="D90" s="40">
        <v>1</v>
      </c>
      <c r="E90" s="40">
        <v>2</v>
      </c>
      <c r="F90" s="197">
        <v>126.77</v>
      </c>
      <c r="G90" s="66">
        <f>D90*E90*F90</f>
        <v>253.54</v>
      </c>
      <c r="H90" s="66">
        <f>TRUNC(($C$86*G90),2)</f>
        <v>1267.7</v>
      </c>
      <c r="I90" s="66">
        <f>TRUNC((H90/12),2)</f>
        <v>105.64</v>
      </c>
    </row>
    <row r="91" spans="1:9" x14ac:dyDescent="0.3">
      <c r="A91" s="68"/>
      <c r="B91" s="256" t="s">
        <v>91</v>
      </c>
      <c r="C91" s="256"/>
      <c r="D91" s="256"/>
      <c r="E91" s="256"/>
      <c r="F91" s="69">
        <f>SUM(F86:F90)</f>
        <v>461.69999999999993</v>
      </c>
      <c r="G91" s="69">
        <f>SUM(G86:G90)</f>
        <v>2021.3</v>
      </c>
      <c r="H91" s="69">
        <f>SUM(H86:H90)</f>
        <v>10106.5</v>
      </c>
      <c r="I91" s="70">
        <f>SUM(I86:I90)</f>
        <v>842.19999999999993</v>
      </c>
    </row>
    <row r="92" spans="1:9" x14ac:dyDescent="0.3">
      <c r="A92" s="72"/>
      <c r="B92" s="72"/>
      <c r="C92" s="72"/>
      <c r="D92" s="72"/>
      <c r="E92" s="72"/>
      <c r="F92" s="72"/>
      <c r="G92" s="72"/>
      <c r="H92" s="72"/>
      <c r="I92" s="72"/>
    </row>
    <row r="93" spans="1:9" x14ac:dyDescent="0.3">
      <c r="A93" s="249" t="s">
        <v>351</v>
      </c>
      <c r="B93" s="249"/>
      <c r="C93" s="249"/>
      <c r="D93" s="249"/>
      <c r="E93" s="249"/>
      <c r="F93" s="249"/>
      <c r="G93" s="249"/>
      <c r="H93" s="249"/>
      <c r="I93" s="249"/>
    </row>
    <row r="94" spans="1:9" ht="45.75" customHeight="1" x14ac:dyDescent="0.3">
      <c r="A94" s="1" t="s">
        <v>1</v>
      </c>
      <c r="B94" s="1" t="s">
        <v>320</v>
      </c>
      <c r="C94" s="1" t="s">
        <v>321</v>
      </c>
      <c r="D94" s="1" t="s">
        <v>322</v>
      </c>
      <c r="E94" s="1" t="s">
        <v>323</v>
      </c>
      <c r="F94" s="1" t="s">
        <v>324</v>
      </c>
      <c r="G94" s="1" t="s">
        <v>325</v>
      </c>
      <c r="H94" s="1" t="s">
        <v>326</v>
      </c>
      <c r="I94" s="1" t="s">
        <v>327</v>
      </c>
    </row>
    <row r="95" spans="1:9" ht="16.5" customHeight="1" x14ac:dyDescent="0.3">
      <c r="A95" s="64" t="s">
        <v>341</v>
      </c>
      <c r="B95" s="222" t="s">
        <v>342</v>
      </c>
      <c r="C95" s="222"/>
      <c r="D95" s="222"/>
      <c r="E95" s="222"/>
      <c r="F95" s="55">
        <f>F82+F91</f>
        <v>957.38999999999987</v>
      </c>
      <c r="G95" s="55">
        <f>G82+G91</f>
        <v>4152.8</v>
      </c>
      <c r="H95" s="55">
        <f>H82+H91</f>
        <v>20764</v>
      </c>
      <c r="I95" s="70">
        <f>TRUNC(((I82+I91)/2),2)</f>
        <v>865.15</v>
      </c>
    </row>
    <row r="96" spans="1:9" x14ac:dyDescent="0.3">
      <c r="A96" s="72"/>
      <c r="B96" s="72"/>
      <c r="C96" s="72"/>
      <c r="D96" s="72"/>
      <c r="E96" s="72"/>
      <c r="F96" s="72"/>
      <c r="G96" s="72"/>
      <c r="H96" s="72"/>
      <c r="I96" s="199">
        <f>TRUNC((I95/5),2)</f>
        <v>173.03</v>
      </c>
    </row>
    <row r="97" spans="1:9" x14ac:dyDescent="0.3">
      <c r="A97" s="72"/>
      <c r="B97" s="72"/>
      <c r="C97" s="72"/>
      <c r="D97" s="72"/>
      <c r="E97" s="72"/>
      <c r="F97" s="72"/>
      <c r="G97" s="72"/>
      <c r="H97" s="72"/>
      <c r="I97" s="72"/>
    </row>
    <row r="98" spans="1:9" x14ac:dyDescent="0.3">
      <c r="A98" s="72"/>
      <c r="B98" s="72"/>
      <c r="C98" s="72"/>
      <c r="D98" s="72"/>
      <c r="E98" s="72"/>
      <c r="F98" s="72"/>
      <c r="G98" s="72"/>
      <c r="H98" s="72"/>
      <c r="I98" s="72"/>
    </row>
    <row r="99" spans="1:9" x14ac:dyDescent="0.3">
      <c r="A99" s="249" t="s">
        <v>352</v>
      </c>
      <c r="B99" s="249"/>
      <c r="C99" s="249"/>
      <c r="D99" s="249"/>
      <c r="E99" s="249"/>
      <c r="F99" s="249"/>
      <c r="G99" s="249"/>
      <c r="H99" s="249"/>
      <c r="I99" s="249"/>
    </row>
    <row r="100" spans="1:9" ht="54.75" customHeight="1" x14ac:dyDescent="0.3">
      <c r="A100" s="1" t="s">
        <v>1</v>
      </c>
      <c r="B100" s="1" t="s">
        <v>320</v>
      </c>
      <c r="C100" s="1" t="s">
        <v>321</v>
      </c>
      <c r="D100" s="1" t="s">
        <v>322</v>
      </c>
      <c r="E100" s="1" t="s">
        <v>323</v>
      </c>
      <c r="F100" s="1" t="s">
        <v>324</v>
      </c>
      <c r="G100" s="1" t="s">
        <v>325</v>
      </c>
      <c r="H100" s="1" t="s">
        <v>326</v>
      </c>
      <c r="I100" s="1" t="s">
        <v>327</v>
      </c>
    </row>
    <row r="101" spans="1:9" ht="48" customHeight="1" x14ac:dyDescent="0.3">
      <c r="A101" s="64">
        <v>1</v>
      </c>
      <c r="B101" s="41" t="s">
        <v>353</v>
      </c>
      <c r="C101" s="257">
        <v>1</v>
      </c>
      <c r="D101" s="79">
        <v>4</v>
      </c>
      <c r="E101" s="64">
        <v>2</v>
      </c>
      <c r="F101" s="197">
        <v>51.39</v>
      </c>
      <c r="G101" s="66">
        <f t="shared" ref="G101:G107" si="12">D101*E101*F101</f>
        <v>411.12</v>
      </c>
      <c r="H101" s="66">
        <f t="shared" ref="H101:H107" si="13">TRUNC(($C$101*G101),2)</f>
        <v>411.12</v>
      </c>
      <c r="I101" s="66">
        <f t="shared" ref="I101:I107" si="14">TRUNC((H101/12),2)</f>
        <v>34.26</v>
      </c>
    </row>
    <row r="102" spans="1:9" ht="21" customHeight="1" x14ac:dyDescent="0.3">
      <c r="A102" s="64">
        <v>2</v>
      </c>
      <c r="B102" s="60" t="s">
        <v>354</v>
      </c>
      <c r="C102" s="257"/>
      <c r="D102" s="79">
        <v>2</v>
      </c>
      <c r="E102" s="64">
        <v>2</v>
      </c>
      <c r="F102" s="197">
        <v>74.33</v>
      </c>
      <c r="G102" s="66">
        <f t="shared" si="12"/>
        <v>297.32</v>
      </c>
      <c r="H102" s="66">
        <f t="shared" si="13"/>
        <v>297.32</v>
      </c>
      <c r="I102" s="66">
        <f t="shared" si="14"/>
        <v>24.77</v>
      </c>
    </row>
    <row r="103" spans="1:9" ht="29.25" customHeight="1" x14ac:dyDescent="0.3">
      <c r="A103" s="64">
        <v>3</v>
      </c>
      <c r="B103" s="41" t="s">
        <v>355</v>
      </c>
      <c r="C103" s="257"/>
      <c r="D103" s="79">
        <v>1</v>
      </c>
      <c r="E103" s="64">
        <v>2</v>
      </c>
      <c r="F103" s="197">
        <v>26.69</v>
      </c>
      <c r="G103" s="66">
        <f t="shared" si="12"/>
        <v>53.38</v>
      </c>
      <c r="H103" s="66">
        <f t="shared" si="13"/>
        <v>53.38</v>
      </c>
      <c r="I103" s="66">
        <f t="shared" si="14"/>
        <v>4.4400000000000004</v>
      </c>
    </row>
    <row r="104" spans="1:9" x14ac:dyDescent="0.3">
      <c r="A104" s="64">
        <v>4</v>
      </c>
      <c r="B104" s="60" t="s">
        <v>356</v>
      </c>
      <c r="C104" s="257"/>
      <c r="D104" s="79">
        <v>2</v>
      </c>
      <c r="E104" s="64">
        <v>2</v>
      </c>
      <c r="F104" s="197">
        <v>24.75</v>
      </c>
      <c r="G104" s="66">
        <f t="shared" si="12"/>
        <v>99</v>
      </c>
      <c r="H104" s="66">
        <f t="shared" si="13"/>
        <v>99</v>
      </c>
      <c r="I104" s="66">
        <f t="shared" si="14"/>
        <v>8.25</v>
      </c>
    </row>
    <row r="105" spans="1:9" x14ac:dyDescent="0.3">
      <c r="A105" s="64">
        <v>5</v>
      </c>
      <c r="B105" s="60" t="s">
        <v>357</v>
      </c>
      <c r="C105" s="257"/>
      <c r="D105" s="79">
        <v>4</v>
      </c>
      <c r="E105" s="64">
        <v>2</v>
      </c>
      <c r="F105" s="197">
        <v>22.1</v>
      </c>
      <c r="G105" s="66">
        <f t="shared" si="12"/>
        <v>176.8</v>
      </c>
      <c r="H105" s="66">
        <f t="shared" si="13"/>
        <v>176.8</v>
      </c>
      <c r="I105" s="66">
        <f t="shared" si="14"/>
        <v>14.73</v>
      </c>
    </row>
    <row r="106" spans="1:9" x14ac:dyDescent="0.3">
      <c r="A106" s="64">
        <v>6</v>
      </c>
      <c r="B106" s="60" t="s">
        <v>358</v>
      </c>
      <c r="C106" s="257"/>
      <c r="D106" s="79">
        <v>4</v>
      </c>
      <c r="E106" s="64">
        <v>2</v>
      </c>
      <c r="F106" s="197">
        <v>24.3</v>
      </c>
      <c r="G106" s="66">
        <f t="shared" si="12"/>
        <v>194.4</v>
      </c>
      <c r="H106" s="66">
        <f t="shared" si="13"/>
        <v>194.4</v>
      </c>
      <c r="I106" s="66">
        <f t="shared" si="14"/>
        <v>16.2</v>
      </c>
    </row>
    <row r="107" spans="1:9" ht="15" customHeight="1" x14ac:dyDescent="0.3">
      <c r="A107" s="64">
        <v>7</v>
      </c>
      <c r="B107" s="41" t="s">
        <v>359</v>
      </c>
      <c r="C107" s="257"/>
      <c r="D107" s="82">
        <v>2</v>
      </c>
      <c r="E107" s="40">
        <v>2</v>
      </c>
      <c r="F107" s="197">
        <v>84.57</v>
      </c>
      <c r="G107" s="66">
        <f t="shared" si="12"/>
        <v>338.28</v>
      </c>
      <c r="H107" s="66">
        <f t="shared" si="13"/>
        <v>338.28</v>
      </c>
      <c r="I107" s="66">
        <f t="shared" si="14"/>
        <v>28.19</v>
      </c>
    </row>
    <row r="108" spans="1:9" x14ac:dyDescent="0.3">
      <c r="A108" s="64"/>
      <c r="B108" s="258" t="s">
        <v>91</v>
      </c>
      <c r="C108" s="258"/>
      <c r="D108" s="258"/>
      <c r="E108" s="258"/>
      <c r="F108" s="55">
        <f>SUM(F101:F107)</f>
        <v>308.13</v>
      </c>
      <c r="G108" s="55">
        <f>SUM(G101:G107)</f>
        <v>1570.3000000000002</v>
      </c>
      <c r="H108" s="55">
        <f>SUM(H101:H107)</f>
        <v>1570.3000000000002</v>
      </c>
      <c r="I108" s="199">
        <f>SUM(I101:I107)</f>
        <v>130.84</v>
      </c>
    </row>
    <row r="109" spans="1:9" ht="18" customHeight="1" x14ac:dyDescent="0.3">
      <c r="A109" s="72"/>
      <c r="B109" s="72"/>
      <c r="C109" s="72"/>
      <c r="D109" s="72"/>
      <c r="E109" s="72"/>
      <c r="F109" s="72"/>
      <c r="G109" s="72"/>
      <c r="H109" s="72"/>
      <c r="I109" s="72"/>
    </row>
    <row r="110" spans="1:9" x14ac:dyDescent="0.3">
      <c r="A110" s="72"/>
      <c r="B110" s="72"/>
      <c r="C110" s="72"/>
      <c r="D110" s="72"/>
      <c r="E110" s="72"/>
      <c r="F110" s="72"/>
      <c r="G110" s="72"/>
      <c r="H110" s="72"/>
      <c r="I110" s="72"/>
    </row>
    <row r="111" spans="1:9" x14ac:dyDescent="0.3">
      <c r="A111" s="252" t="s">
        <v>360</v>
      </c>
      <c r="B111" s="252"/>
      <c r="C111" s="252"/>
      <c r="D111" s="252"/>
      <c r="E111" s="252"/>
      <c r="F111" s="252"/>
      <c r="G111" s="252"/>
      <c r="H111" s="252"/>
      <c r="I111" s="252"/>
    </row>
    <row r="112" spans="1:9" ht="47.25" customHeight="1" x14ac:dyDescent="0.3">
      <c r="A112" s="1" t="s">
        <v>1</v>
      </c>
      <c r="B112" s="1" t="s">
        <v>320</v>
      </c>
      <c r="C112" s="1" t="s">
        <v>321</v>
      </c>
      <c r="D112" s="1" t="s">
        <v>322</v>
      </c>
      <c r="E112" s="1" t="s">
        <v>323</v>
      </c>
      <c r="F112" s="1" t="s">
        <v>324</v>
      </c>
      <c r="G112" s="1" t="s">
        <v>325</v>
      </c>
      <c r="H112" s="1" t="s">
        <v>326</v>
      </c>
      <c r="I112" s="1" t="s">
        <v>327</v>
      </c>
    </row>
    <row r="113" spans="1:9" ht="33" customHeight="1" x14ac:dyDescent="0.3">
      <c r="A113" s="64">
        <v>1</v>
      </c>
      <c r="B113" s="65" t="s">
        <v>328</v>
      </c>
      <c r="C113" s="253">
        <v>1</v>
      </c>
      <c r="D113" s="40">
        <v>2</v>
      </c>
      <c r="E113" s="40">
        <v>2</v>
      </c>
      <c r="F113" s="197">
        <v>92.3</v>
      </c>
      <c r="G113" s="66">
        <f t="shared" ref="G113:G118" si="15">D113*E113*F113</f>
        <v>369.2</v>
      </c>
      <c r="H113" s="66">
        <f t="shared" ref="H113:H118" si="16">TRUNC(($C$113*G113),2)</f>
        <v>369.2</v>
      </c>
      <c r="I113" s="66">
        <f t="shared" ref="I113:I118" si="17">TRUNC((H113/12),2)</f>
        <v>30.76</v>
      </c>
    </row>
    <row r="114" spans="1:9" ht="33.75" customHeight="1" x14ac:dyDescent="0.3">
      <c r="A114" s="64">
        <v>2</v>
      </c>
      <c r="B114" s="65" t="s">
        <v>329</v>
      </c>
      <c r="C114" s="253"/>
      <c r="D114" s="40">
        <v>4</v>
      </c>
      <c r="E114" s="40">
        <v>2</v>
      </c>
      <c r="F114" s="197">
        <v>79.319999999999993</v>
      </c>
      <c r="G114" s="66">
        <f t="shared" si="15"/>
        <v>634.55999999999995</v>
      </c>
      <c r="H114" s="66">
        <f t="shared" si="16"/>
        <v>634.55999999999995</v>
      </c>
      <c r="I114" s="66">
        <f t="shared" si="17"/>
        <v>52.88</v>
      </c>
    </row>
    <row r="115" spans="1:9" x14ac:dyDescent="0.3">
      <c r="A115" s="64">
        <v>3</v>
      </c>
      <c r="B115" s="65" t="s">
        <v>330</v>
      </c>
      <c r="C115" s="253"/>
      <c r="D115" s="40">
        <v>4</v>
      </c>
      <c r="E115" s="40">
        <v>2</v>
      </c>
      <c r="F115" s="197">
        <v>21.25</v>
      </c>
      <c r="G115" s="66">
        <f t="shared" si="15"/>
        <v>170</v>
      </c>
      <c r="H115" s="66">
        <f t="shared" si="16"/>
        <v>170</v>
      </c>
      <c r="I115" s="66">
        <f t="shared" si="17"/>
        <v>14.16</v>
      </c>
    </row>
    <row r="116" spans="1:9" x14ac:dyDescent="0.3">
      <c r="A116" s="64">
        <v>4</v>
      </c>
      <c r="B116" s="67" t="s">
        <v>331</v>
      </c>
      <c r="C116" s="253"/>
      <c r="D116" s="40">
        <v>2</v>
      </c>
      <c r="E116" s="40">
        <v>2</v>
      </c>
      <c r="F116" s="197">
        <v>100.79</v>
      </c>
      <c r="G116" s="66">
        <f t="shared" si="15"/>
        <v>403.16</v>
      </c>
      <c r="H116" s="66">
        <f t="shared" si="16"/>
        <v>403.16</v>
      </c>
      <c r="I116" s="66">
        <f t="shared" si="17"/>
        <v>33.590000000000003</v>
      </c>
    </row>
    <row r="117" spans="1:9" x14ac:dyDescent="0.3">
      <c r="A117" s="64">
        <v>5</v>
      </c>
      <c r="B117" s="67" t="s">
        <v>332</v>
      </c>
      <c r="C117" s="253"/>
      <c r="D117" s="40">
        <v>2</v>
      </c>
      <c r="E117" s="40">
        <v>2</v>
      </c>
      <c r="F117" s="197">
        <v>75.260000000000005</v>
      </c>
      <c r="G117" s="66">
        <f t="shared" si="15"/>
        <v>301.04000000000002</v>
      </c>
      <c r="H117" s="66">
        <f t="shared" si="16"/>
        <v>301.04000000000002</v>
      </c>
      <c r="I117" s="66">
        <f t="shared" si="17"/>
        <v>25.08</v>
      </c>
    </row>
    <row r="118" spans="1:9" x14ac:dyDescent="0.3">
      <c r="A118" s="64">
        <v>6</v>
      </c>
      <c r="B118" s="67" t="s">
        <v>333</v>
      </c>
      <c r="C118" s="253"/>
      <c r="D118" s="40">
        <v>1</v>
      </c>
      <c r="E118" s="40">
        <v>2</v>
      </c>
      <c r="F118" s="197">
        <v>126.77</v>
      </c>
      <c r="G118" s="66">
        <f t="shared" si="15"/>
        <v>253.54</v>
      </c>
      <c r="H118" s="66">
        <f t="shared" si="16"/>
        <v>253.54</v>
      </c>
      <c r="I118" s="66">
        <f t="shared" si="17"/>
        <v>21.12</v>
      </c>
    </row>
    <row r="119" spans="1:9" x14ac:dyDescent="0.3">
      <c r="A119" s="68"/>
      <c r="B119" s="254" t="s">
        <v>91</v>
      </c>
      <c r="C119" s="254"/>
      <c r="D119" s="254"/>
      <c r="E119" s="254"/>
      <c r="F119" s="69">
        <f>SUM(F113:F118)</f>
        <v>495.69</v>
      </c>
      <c r="G119" s="69">
        <f>SUM(G113:G118)</f>
        <v>2131.5</v>
      </c>
      <c r="H119" s="69">
        <f>SUM(H113:H118)</f>
        <v>2131.5</v>
      </c>
      <c r="I119" s="70">
        <f>SUM(I113:I118)</f>
        <v>177.58999999999997</v>
      </c>
    </row>
    <row r="120" spans="1:9" x14ac:dyDescent="0.3">
      <c r="A120" s="72"/>
      <c r="B120" s="72"/>
      <c r="C120" s="72"/>
      <c r="D120" s="72"/>
      <c r="E120" s="72"/>
      <c r="F120" s="72"/>
      <c r="G120" s="72"/>
      <c r="H120" s="72"/>
      <c r="I120" s="72"/>
    </row>
    <row r="121" spans="1:9" x14ac:dyDescent="0.3">
      <c r="A121" s="252" t="s">
        <v>361</v>
      </c>
      <c r="B121" s="252"/>
      <c r="C121" s="252"/>
      <c r="D121" s="252"/>
      <c r="E121" s="252"/>
      <c r="F121" s="252"/>
      <c r="G121" s="252"/>
      <c r="H121" s="252"/>
      <c r="I121" s="252"/>
    </row>
    <row r="122" spans="1:9" ht="51.75" customHeight="1" x14ac:dyDescent="0.3">
      <c r="A122" s="1" t="s">
        <v>1</v>
      </c>
      <c r="B122" s="1" t="s">
        <v>320</v>
      </c>
      <c r="C122" s="1" t="s">
        <v>321</v>
      </c>
      <c r="D122" s="1" t="s">
        <v>322</v>
      </c>
      <c r="E122" s="1" t="s">
        <v>323</v>
      </c>
      <c r="F122" s="1" t="s">
        <v>324</v>
      </c>
      <c r="G122" s="1" t="s">
        <v>325</v>
      </c>
      <c r="H122" s="1" t="s">
        <v>326</v>
      </c>
      <c r="I122" s="1" t="s">
        <v>327</v>
      </c>
    </row>
    <row r="123" spans="1:9" ht="62.25" customHeight="1" x14ac:dyDescent="0.3">
      <c r="A123" s="64">
        <v>1</v>
      </c>
      <c r="B123" s="65" t="s">
        <v>335</v>
      </c>
      <c r="C123" s="253">
        <v>1</v>
      </c>
      <c r="D123" s="40">
        <v>4</v>
      </c>
      <c r="E123" s="40">
        <v>2</v>
      </c>
      <c r="F123" s="197">
        <v>79.86</v>
      </c>
      <c r="G123" s="66">
        <f>D123*E123*F123</f>
        <v>638.88</v>
      </c>
      <c r="H123" s="66">
        <f>TRUNC(($C$123*G123),2)</f>
        <v>638.88</v>
      </c>
      <c r="I123" s="66">
        <f>TRUNC((H123/12),2)</f>
        <v>53.24</v>
      </c>
    </row>
    <row r="124" spans="1:9" ht="62.25" customHeight="1" x14ac:dyDescent="0.3">
      <c r="A124" s="64">
        <v>2</v>
      </c>
      <c r="B124" s="65" t="s">
        <v>336</v>
      </c>
      <c r="C124" s="253"/>
      <c r="D124" s="40">
        <v>2</v>
      </c>
      <c r="E124" s="40">
        <v>2</v>
      </c>
      <c r="F124" s="197">
        <v>85.72</v>
      </c>
      <c r="G124" s="66">
        <f>D124*E124*F124</f>
        <v>342.88</v>
      </c>
      <c r="H124" s="66">
        <f>TRUNC(($C$123*G124),2)</f>
        <v>342.88</v>
      </c>
      <c r="I124" s="66">
        <f>TRUNC((H124/12),2)</f>
        <v>28.57</v>
      </c>
    </row>
    <row r="125" spans="1:9" x14ac:dyDescent="0.3">
      <c r="A125" s="64">
        <v>3</v>
      </c>
      <c r="B125" s="65" t="s">
        <v>337</v>
      </c>
      <c r="C125" s="253"/>
      <c r="D125" s="40">
        <v>4</v>
      </c>
      <c r="E125" s="40">
        <v>2</v>
      </c>
      <c r="F125" s="197">
        <v>27.15</v>
      </c>
      <c r="G125" s="66">
        <f>D125*E125*F125</f>
        <v>217.2</v>
      </c>
      <c r="H125" s="66">
        <f>TRUNC(($C$123*G125),2)</f>
        <v>217.2</v>
      </c>
      <c r="I125" s="66">
        <f>TRUNC((H125/12),2)</f>
        <v>18.100000000000001</v>
      </c>
    </row>
    <row r="126" spans="1:9" ht="15" customHeight="1" x14ac:dyDescent="0.3">
      <c r="A126" s="64">
        <v>4</v>
      </c>
      <c r="B126" s="65" t="s">
        <v>338</v>
      </c>
      <c r="C126" s="253"/>
      <c r="D126" s="40">
        <v>2</v>
      </c>
      <c r="E126" s="40">
        <v>2</v>
      </c>
      <c r="F126" s="197">
        <v>142.19999999999999</v>
      </c>
      <c r="G126" s="66">
        <f>D126*E126*F126</f>
        <v>568.79999999999995</v>
      </c>
      <c r="H126" s="66">
        <f>TRUNC(($C$123*G126),2)</f>
        <v>568.79999999999995</v>
      </c>
      <c r="I126" s="66">
        <f>TRUNC((H126/12),2)</f>
        <v>47.4</v>
      </c>
    </row>
    <row r="127" spans="1:9" x14ac:dyDescent="0.3">
      <c r="A127" s="64">
        <v>5</v>
      </c>
      <c r="B127" s="67" t="s">
        <v>339</v>
      </c>
      <c r="C127" s="253"/>
      <c r="D127" s="40">
        <v>1</v>
      </c>
      <c r="E127" s="40">
        <v>2</v>
      </c>
      <c r="F127" s="197">
        <v>126.77</v>
      </c>
      <c r="G127" s="66">
        <f>D127*E127*F127</f>
        <v>253.54</v>
      </c>
      <c r="H127" s="66">
        <f>TRUNC(($C$123*G127),2)</f>
        <v>253.54</v>
      </c>
      <c r="I127" s="66">
        <f>TRUNC((H127/12),2)</f>
        <v>21.12</v>
      </c>
    </row>
    <row r="128" spans="1:9" x14ac:dyDescent="0.3">
      <c r="A128" s="68"/>
      <c r="B128" s="256" t="s">
        <v>91</v>
      </c>
      <c r="C128" s="256"/>
      <c r="D128" s="256"/>
      <c r="E128" s="256"/>
      <c r="F128" s="69">
        <f>SUM(F123:F127)</f>
        <v>461.69999999999993</v>
      </c>
      <c r="G128" s="69">
        <f>SUM(G123:G127)</f>
        <v>2021.3</v>
      </c>
      <c r="H128" s="69">
        <f>SUM(H123:H127)</f>
        <v>2021.3</v>
      </c>
      <c r="I128" s="70">
        <f>SUM(I123:I127)</f>
        <v>168.43</v>
      </c>
    </row>
    <row r="129" spans="1:9" x14ac:dyDescent="0.3">
      <c r="A129" s="72"/>
      <c r="B129" s="72"/>
      <c r="C129" s="72"/>
      <c r="D129" s="72"/>
      <c r="E129" s="72"/>
      <c r="F129" s="72"/>
      <c r="G129" s="72"/>
      <c r="H129" s="72"/>
      <c r="I129" s="72"/>
    </row>
    <row r="130" spans="1:9" x14ac:dyDescent="0.3">
      <c r="A130" s="249" t="s">
        <v>362</v>
      </c>
      <c r="B130" s="249"/>
      <c r="C130" s="249"/>
      <c r="D130" s="249"/>
      <c r="E130" s="249"/>
      <c r="F130" s="249"/>
      <c r="G130" s="249"/>
      <c r="H130" s="249"/>
      <c r="I130" s="249"/>
    </row>
    <row r="131" spans="1:9" ht="52.5" customHeight="1" x14ac:dyDescent="0.3">
      <c r="A131" s="1" t="s">
        <v>1</v>
      </c>
      <c r="B131" s="1" t="s">
        <v>320</v>
      </c>
      <c r="C131" s="1" t="s">
        <v>321</v>
      </c>
      <c r="D131" s="1" t="s">
        <v>322</v>
      </c>
      <c r="E131" s="1" t="s">
        <v>323</v>
      </c>
      <c r="F131" s="1" t="s">
        <v>324</v>
      </c>
      <c r="G131" s="1" t="s">
        <v>325</v>
      </c>
      <c r="H131" s="1" t="s">
        <v>326</v>
      </c>
      <c r="I131" s="1" t="s">
        <v>327</v>
      </c>
    </row>
    <row r="132" spans="1:9" ht="15" customHeight="1" x14ac:dyDescent="0.3">
      <c r="A132" s="64" t="s">
        <v>341</v>
      </c>
      <c r="B132" s="222" t="s">
        <v>342</v>
      </c>
      <c r="C132" s="222"/>
      <c r="D132" s="222"/>
      <c r="E132" s="222"/>
      <c r="F132" s="55">
        <f>F119+F128</f>
        <v>957.38999999999987</v>
      </c>
      <c r="G132" s="55">
        <f>G119+G128</f>
        <v>4152.8</v>
      </c>
      <c r="H132" s="55">
        <f>H119+H128</f>
        <v>4152.8</v>
      </c>
      <c r="I132" s="198">
        <f>(I119+I128)/2</f>
        <v>173.01</v>
      </c>
    </row>
    <row r="133" spans="1:9" x14ac:dyDescent="0.3">
      <c r="A133" s="72"/>
      <c r="B133" s="72"/>
      <c r="C133" s="72"/>
      <c r="D133" s="72"/>
      <c r="E133" s="72"/>
      <c r="F133" s="72"/>
      <c r="G133" s="72"/>
      <c r="H133" s="72"/>
      <c r="I133" s="72"/>
    </row>
    <row r="134" spans="1:9" x14ac:dyDescent="0.3">
      <c r="A134" s="72"/>
      <c r="B134" s="72"/>
      <c r="C134" s="72"/>
      <c r="D134" s="72"/>
      <c r="E134" s="72"/>
      <c r="F134" s="72"/>
      <c r="G134" s="72"/>
      <c r="H134" s="72"/>
      <c r="I134" s="72"/>
    </row>
    <row r="135" spans="1:9" x14ac:dyDescent="0.3">
      <c r="A135" s="249" t="s">
        <v>363</v>
      </c>
      <c r="B135" s="249"/>
      <c r="C135" s="249"/>
      <c r="D135" s="249"/>
      <c r="E135" s="249"/>
      <c r="F135" s="249"/>
      <c r="G135" s="249"/>
      <c r="H135" s="249"/>
      <c r="I135" s="249"/>
    </row>
    <row r="136" spans="1:9" ht="48" customHeight="1" x14ac:dyDescent="0.3">
      <c r="A136" s="1" t="s">
        <v>1</v>
      </c>
      <c r="B136" s="1" t="s">
        <v>320</v>
      </c>
      <c r="C136" s="83" t="s">
        <v>321</v>
      </c>
      <c r="D136" s="1" t="s">
        <v>322</v>
      </c>
      <c r="E136" s="1" t="s">
        <v>323</v>
      </c>
      <c r="F136" s="1" t="s">
        <v>324</v>
      </c>
      <c r="G136" s="1" t="s">
        <v>325</v>
      </c>
      <c r="H136" s="1" t="s">
        <v>326</v>
      </c>
      <c r="I136" s="1" t="s">
        <v>327</v>
      </c>
    </row>
    <row r="137" spans="1:9" ht="35.25" customHeight="1" x14ac:dyDescent="0.3">
      <c r="A137" s="253">
        <v>1</v>
      </c>
      <c r="B137" s="259" t="s">
        <v>364</v>
      </c>
      <c r="C137" s="257">
        <v>2</v>
      </c>
      <c r="D137" s="260">
        <v>2</v>
      </c>
      <c r="E137" s="258">
        <v>2</v>
      </c>
      <c r="F137" s="261">
        <v>495.99</v>
      </c>
      <c r="G137" s="262">
        <f>D137*E137*F137</f>
        <v>1983.96</v>
      </c>
      <c r="H137" s="262">
        <f>TRUNC(($C$137*G137),2)</f>
        <v>3967.92</v>
      </c>
      <c r="I137" s="262">
        <f>TRUNC((H137/12),2)</f>
        <v>330.66</v>
      </c>
    </row>
    <row r="138" spans="1:9" x14ac:dyDescent="0.3">
      <c r="A138" s="253"/>
      <c r="B138" s="259"/>
      <c r="C138" s="257"/>
      <c r="D138" s="260"/>
      <c r="E138" s="258"/>
      <c r="F138" s="261"/>
      <c r="G138" s="262"/>
      <c r="H138" s="262"/>
      <c r="I138" s="262"/>
    </row>
    <row r="139" spans="1:9" ht="76.5" customHeight="1" x14ac:dyDescent="0.3">
      <c r="A139" s="64">
        <v>2</v>
      </c>
      <c r="B139" s="41" t="s">
        <v>365</v>
      </c>
      <c r="C139" s="257"/>
      <c r="D139" s="82">
        <v>1</v>
      </c>
      <c r="E139" s="40">
        <v>2</v>
      </c>
      <c r="F139" s="197">
        <v>181.15</v>
      </c>
      <c r="G139" s="66">
        <f>D139*E139*F139</f>
        <v>362.3</v>
      </c>
      <c r="H139" s="66">
        <f>TRUNC(($C$137*G139),2)</f>
        <v>724.6</v>
      </c>
      <c r="I139" s="66">
        <f>TRUNC((H139/12),2)</f>
        <v>60.38</v>
      </c>
    </row>
    <row r="140" spans="1:9" x14ac:dyDescent="0.3">
      <c r="A140" s="64">
        <v>3</v>
      </c>
      <c r="B140" s="60" t="s">
        <v>366</v>
      </c>
      <c r="C140" s="257"/>
      <c r="D140" s="82">
        <v>1</v>
      </c>
      <c r="E140" s="40">
        <v>2</v>
      </c>
      <c r="F140" s="197">
        <v>67.430000000000007</v>
      </c>
      <c r="G140" s="66">
        <f>D140*E140*F140</f>
        <v>134.86000000000001</v>
      </c>
      <c r="H140" s="66">
        <f>TRUNC(($C$137*G140),2)</f>
        <v>269.72000000000003</v>
      </c>
      <c r="I140" s="66">
        <f>TRUNC((H140/12),2)</f>
        <v>22.47</v>
      </c>
    </row>
    <row r="141" spans="1:9" ht="30" customHeight="1" x14ac:dyDescent="0.3">
      <c r="A141" s="64">
        <v>4</v>
      </c>
      <c r="B141" s="41" t="s">
        <v>367</v>
      </c>
      <c r="C141" s="257"/>
      <c r="D141" s="82">
        <v>3</v>
      </c>
      <c r="E141" s="40">
        <v>2</v>
      </c>
      <c r="F141" s="197">
        <v>40.04</v>
      </c>
      <c r="G141" s="66">
        <f>D141*E141*F141</f>
        <v>240.24</v>
      </c>
      <c r="H141" s="66">
        <f>TRUNC(($C$137*G141),2)</f>
        <v>480.48</v>
      </c>
      <c r="I141" s="66">
        <f>TRUNC((H141/12),2)</f>
        <v>40.04</v>
      </c>
    </row>
    <row r="142" spans="1:9" x14ac:dyDescent="0.3">
      <c r="A142" s="64">
        <v>5</v>
      </c>
      <c r="B142" s="60" t="s">
        <v>368</v>
      </c>
      <c r="C142" s="257"/>
      <c r="D142" s="82">
        <v>3</v>
      </c>
      <c r="E142" s="40">
        <v>2</v>
      </c>
      <c r="F142" s="197">
        <v>9.23</v>
      </c>
      <c r="G142" s="66">
        <f>D142*E142*F142</f>
        <v>55.38</v>
      </c>
      <c r="H142" s="66">
        <f>TRUNC(($C$137*G142),2)</f>
        <v>110.76</v>
      </c>
      <c r="I142" s="66">
        <f>TRUNC((H142/12),2)</f>
        <v>9.23</v>
      </c>
    </row>
    <row r="143" spans="1:9" x14ac:dyDescent="0.3">
      <c r="A143" s="64"/>
      <c r="B143" s="258" t="s">
        <v>91</v>
      </c>
      <c r="C143" s="258"/>
      <c r="D143" s="258"/>
      <c r="E143" s="258"/>
      <c r="F143" s="55">
        <f>SUM(F137:F142)</f>
        <v>793.83999999999992</v>
      </c>
      <c r="G143" s="55">
        <f>SUM(G137:G142)</f>
        <v>2776.7400000000007</v>
      </c>
      <c r="H143" s="55">
        <f>SUM(H137:H142)</f>
        <v>5553.4800000000014</v>
      </c>
      <c r="I143" s="199">
        <f>TRUNC((SUM(I137:I142)/2),2)</f>
        <v>231.39</v>
      </c>
    </row>
    <row r="144" spans="1:9" x14ac:dyDescent="0.3">
      <c r="A144" s="72"/>
      <c r="B144" s="72"/>
      <c r="C144" s="72"/>
      <c r="D144" s="72"/>
      <c r="E144" s="72"/>
      <c r="F144" s="72"/>
      <c r="G144" s="72"/>
      <c r="H144" s="72"/>
      <c r="I144" s="72"/>
    </row>
    <row r="145" spans="1:9" x14ac:dyDescent="0.3">
      <c r="A145" s="72"/>
      <c r="B145" s="72"/>
      <c r="C145" s="72"/>
      <c r="D145" s="72"/>
      <c r="E145" s="72"/>
      <c r="F145" s="72"/>
      <c r="G145" s="72"/>
      <c r="H145" s="72"/>
      <c r="I145" s="72"/>
    </row>
    <row r="146" spans="1:9" x14ac:dyDescent="0.3">
      <c r="A146" s="249" t="s">
        <v>369</v>
      </c>
      <c r="B146" s="249"/>
      <c r="C146" s="249"/>
      <c r="D146" s="249"/>
      <c r="E146" s="249"/>
      <c r="F146" s="249"/>
      <c r="G146" s="249"/>
      <c r="H146" s="249"/>
      <c r="I146" s="249"/>
    </row>
    <row r="147" spans="1:9" ht="46.5" customHeight="1" x14ac:dyDescent="0.3">
      <c r="A147" s="1" t="s">
        <v>1</v>
      </c>
      <c r="B147" s="1" t="s">
        <v>320</v>
      </c>
      <c r="C147" s="1" t="s">
        <v>321</v>
      </c>
      <c r="D147" s="1" t="s">
        <v>322</v>
      </c>
      <c r="E147" s="1" t="s">
        <v>323</v>
      </c>
      <c r="F147" s="1" t="s">
        <v>324</v>
      </c>
      <c r="G147" s="1" t="s">
        <v>325</v>
      </c>
      <c r="H147" s="1" t="s">
        <v>326</v>
      </c>
      <c r="I147" s="1" t="s">
        <v>327</v>
      </c>
    </row>
    <row r="148" spans="1:9" x14ac:dyDescent="0.3">
      <c r="A148" s="64">
        <v>1</v>
      </c>
      <c r="B148" s="67" t="s">
        <v>370</v>
      </c>
      <c r="C148" s="257">
        <v>5</v>
      </c>
      <c r="D148" s="82">
        <v>3</v>
      </c>
      <c r="E148" s="40">
        <v>2</v>
      </c>
      <c r="F148" s="197">
        <v>57.67</v>
      </c>
      <c r="G148" s="66">
        <f>D148*E148*F148</f>
        <v>346.02</v>
      </c>
      <c r="H148" s="66">
        <f>TRUNC(($C$148*G148),2)</f>
        <v>1730.1</v>
      </c>
      <c r="I148" s="66">
        <f>TRUNC((H148/12),2)</f>
        <v>144.16999999999999</v>
      </c>
    </row>
    <row r="149" spans="1:9" x14ac:dyDescent="0.3">
      <c r="A149" s="64">
        <v>2</v>
      </c>
      <c r="B149" s="65" t="s">
        <v>371</v>
      </c>
      <c r="C149" s="257"/>
      <c r="D149" s="82">
        <v>4</v>
      </c>
      <c r="E149" s="40">
        <v>2</v>
      </c>
      <c r="F149" s="197">
        <v>63.45</v>
      </c>
      <c r="G149" s="66">
        <f>D149*E149*F149</f>
        <v>507.6</v>
      </c>
      <c r="H149" s="66">
        <f>TRUNC(($C$148*G149),2)</f>
        <v>2538</v>
      </c>
      <c r="I149" s="66">
        <f>TRUNC((H149/12),2)</f>
        <v>211.5</v>
      </c>
    </row>
    <row r="150" spans="1:9" ht="46.5" customHeight="1" x14ac:dyDescent="0.3">
      <c r="A150" s="64">
        <v>3</v>
      </c>
      <c r="B150" s="65" t="s">
        <v>372</v>
      </c>
      <c r="C150" s="257"/>
      <c r="D150" s="82">
        <v>1</v>
      </c>
      <c r="E150" s="40">
        <v>2</v>
      </c>
      <c r="F150" s="197">
        <v>79.709999999999994</v>
      </c>
      <c r="G150" s="66">
        <f>D150*E150*F150</f>
        <v>159.41999999999999</v>
      </c>
      <c r="H150" s="66">
        <f>TRUNC(($C$148*G150),2)</f>
        <v>797.1</v>
      </c>
      <c r="I150" s="66">
        <f>TRUNC((H150/12),2)</f>
        <v>66.42</v>
      </c>
    </row>
    <row r="151" spans="1:9" ht="33.75" customHeight="1" x14ac:dyDescent="0.3">
      <c r="A151" s="64">
        <v>4</v>
      </c>
      <c r="B151" s="65" t="s">
        <v>373</v>
      </c>
      <c r="C151" s="257"/>
      <c r="D151" s="82">
        <v>4</v>
      </c>
      <c r="E151" s="40">
        <v>2</v>
      </c>
      <c r="F151" s="197">
        <v>9.23</v>
      </c>
      <c r="G151" s="66">
        <f>D151*E151*F151</f>
        <v>73.84</v>
      </c>
      <c r="H151" s="66">
        <f>TRUNC(($C$148*G151),2)</f>
        <v>369.2</v>
      </c>
      <c r="I151" s="66">
        <f>TRUNC((H151/12),2)</f>
        <v>30.76</v>
      </c>
    </row>
    <row r="152" spans="1:9" ht="31.5" customHeight="1" x14ac:dyDescent="0.3">
      <c r="A152" s="64">
        <v>5</v>
      </c>
      <c r="B152" s="65" t="s">
        <v>374</v>
      </c>
      <c r="C152" s="257"/>
      <c r="D152" s="82">
        <v>1</v>
      </c>
      <c r="E152" s="40">
        <v>1</v>
      </c>
      <c r="F152" s="197">
        <v>69.760000000000005</v>
      </c>
      <c r="G152" s="66">
        <f>D152*E152*F152</f>
        <v>69.760000000000005</v>
      </c>
      <c r="H152" s="66">
        <f>TRUNC(($C$148*G152),2)</f>
        <v>348.8</v>
      </c>
      <c r="I152" s="66">
        <f>TRUNC((H152/12),2)</f>
        <v>29.06</v>
      </c>
    </row>
    <row r="153" spans="1:9" x14ac:dyDescent="0.3">
      <c r="A153" s="64"/>
      <c r="B153" s="258" t="s">
        <v>91</v>
      </c>
      <c r="C153" s="258"/>
      <c r="D153" s="258"/>
      <c r="E153" s="258"/>
      <c r="F153" s="55">
        <f>SUM(F148:F152)</f>
        <v>279.82</v>
      </c>
      <c r="G153" s="55">
        <f>SUM(G148:G152)</f>
        <v>1156.6399999999999</v>
      </c>
      <c r="H153" s="55">
        <f>SUM(H148:H152)</f>
        <v>5783.2000000000007</v>
      </c>
      <c r="I153" s="199">
        <f>TRUNC((SUM(I148:I152)/5),2)</f>
        <v>96.38</v>
      </c>
    </row>
    <row r="154" spans="1:9" x14ac:dyDescent="0.3">
      <c r="A154" s="72"/>
      <c r="B154" s="72"/>
      <c r="C154" s="72"/>
      <c r="D154" s="72"/>
      <c r="E154" s="72"/>
      <c r="F154" s="72"/>
      <c r="G154" s="72"/>
      <c r="H154" s="72"/>
      <c r="I154" s="72"/>
    </row>
    <row r="155" spans="1:9" x14ac:dyDescent="0.3">
      <c r="A155" s="72"/>
      <c r="B155" s="72"/>
      <c r="C155" s="72"/>
      <c r="D155" s="72"/>
      <c r="E155" s="72"/>
      <c r="F155" s="72"/>
      <c r="G155" s="72"/>
      <c r="H155" s="72"/>
      <c r="I155" s="72"/>
    </row>
    <row r="156" spans="1:9" x14ac:dyDescent="0.3">
      <c r="A156" s="72"/>
      <c r="B156" s="72"/>
      <c r="C156" s="72"/>
      <c r="D156" s="72"/>
      <c r="E156" s="72"/>
      <c r="F156" s="72"/>
      <c r="G156" s="72"/>
      <c r="H156" s="72"/>
      <c r="I156" s="72"/>
    </row>
    <row r="157" spans="1:9" x14ac:dyDescent="0.3">
      <c r="A157" s="249" t="s">
        <v>375</v>
      </c>
      <c r="B157" s="249"/>
      <c r="C157" s="249"/>
      <c r="D157" s="249"/>
      <c r="E157" s="249"/>
      <c r="F157" s="249"/>
      <c r="G157" s="249"/>
      <c r="H157" s="249"/>
      <c r="I157" s="249"/>
    </row>
    <row r="158" spans="1:9" ht="20.399999999999999" x14ac:dyDescent="0.3">
      <c r="A158" s="1" t="s">
        <v>1</v>
      </c>
      <c r="B158" s="1" t="s">
        <v>320</v>
      </c>
      <c r="C158" s="1" t="s">
        <v>321</v>
      </c>
      <c r="D158" s="1" t="s">
        <v>322</v>
      </c>
      <c r="E158" s="1" t="s">
        <v>323</v>
      </c>
      <c r="F158" s="1" t="s">
        <v>324</v>
      </c>
      <c r="G158" s="1" t="s">
        <v>325</v>
      </c>
      <c r="H158" s="1" t="s">
        <v>326</v>
      </c>
      <c r="I158" s="1" t="s">
        <v>327</v>
      </c>
    </row>
    <row r="159" spans="1:9" x14ac:dyDescent="0.3">
      <c r="A159" s="64">
        <v>1</v>
      </c>
      <c r="B159" s="67" t="s">
        <v>370</v>
      </c>
      <c r="C159" s="260">
        <v>1</v>
      </c>
      <c r="D159" s="82">
        <v>3</v>
      </c>
      <c r="E159" s="40">
        <v>2</v>
      </c>
      <c r="F159" s="197">
        <v>57.67</v>
      </c>
      <c r="G159" s="66">
        <f>D159*E159*F159</f>
        <v>346.02</v>
      </c>
      <c r="H159" s="40">
        <f>$C$159*G159</f>
        <v>346.02</v>
      </c>
      <c r="I159" s="66">
        <f>H159/12</f>
        <v>28.834999999999997</v>
      </c>
    </row>
    <row r="160" spans="1:9" x14ac:dyDescent="0.3">
      <c r="A160" s="64">
        <v>2</v>
      </c>
      <c r="B160" s="65" t="s">
        <v>371</v>
      </c>
      <c r="C160" s="260"/>
      <c r="D160" s="82">
        <v>4</v>
      </c>
      <c r="E160" s="40">
        <v>2</v>
      </c>
      <c r="F160" s="197">
        <v>63.45</v>
      </c>
      <c r="G160" s="66">
        <f>D160*E160*F160</f>
        <v>507.6</v>
      </c>
      <c r="H160" s="40">
        <f>$C$159*G160</f>
        <v>507.6</v>
      </c>
      <c r="I160" s="66">
        <f>H160/12</f>
        <v>42.300000000000004</v>
      </c>
    </row>
    <row r="161" spans="1:9" ht="30.6" x14ac:dyDescent="0.3">
      <c r="A161" s="64">
        <v>3</v>
      </c>
      <c r="B161" s="65" t="s">
        <v>372</v>
      </c>
      <c r="C161" s="260"/>
      <c r="D161" s="82">
        <v>1</v>
      </c>
      <c r="E161" s="40">
        <v>2</v>
      </c>
      <c r="F161" s="197">
        <v>79.709999999999994</v>
      </c>
      <c r="G161" s="66">
        <f>D161*E161*F161</f>
        <v>159.41999999999999</v>
      </c>
      <c r="H161" s="40">
        <f>$C$159*G161</f>
        <v>159.41999999999999</v>
      </c>
      <c r="I161" s="66">
        <f>H161/12</f>
        <v>13.284999999999998</v>
      </c>
    </row>
    <row r="162" spans="1:9" ht="20.399999999999999" x14ac:dyDescent="0.3">
      <c r="A162" s="64">
        <v>4</v>
      </c>
      <c r="B162" s="65" t="s">
        <v>373</v>
      </c>
      <c r="C162" s="260"/>
      <c r="D162" s="82">
        <v>4</v>
      </c>
      <c r="E162" s="40">
        <v>2</v>
      </c>
      <c r="F162" s="197">
        <v>9.23</v>
      </c>
      <c r="G162" s="66">
        <f>D162*E162*F162</f>
        <v>73.84</v>
      </c>
      <c r="H162" s="40">
        <f>$C$159*G162</f>
        <v>73.84</v>
      </c>
      <c r="I162" s="66">
        <f>H162/12</f>
        <v>6.1533333333333333</v>
      </c>
    </row>
    <row r="163" spans="1:9" ht="20.399999999999999" x14ac:dyDescent="0.3">
      <c r="A163" s="64">
        <v>5</v>
      </c>
      <c r="B163" s="65" t="s">
        <v>374</v>
      </c>
      <c r="C163" s="260"/>
      <c r="D163" s="82">
        <v>1</v>
      </c>
      <c r="E163" s="40">
        <v>1</v>
      </c>
      <c r="F163" s="197">
        <v>69.760000000000005</v>
      </c>
      <c r="G163" s="66">
        <f>D163*E163*F163</f>
        <v>69.760000000000005</v>
      </c>
      <c r="H163" s="40">
        <f>$C$159*G163</f>
        <v>69.760000000000005</v>
      </c>
      <c r="I163" s="66">
        <f>H163/12</f>
        <v>5.8133333333333335</v>
      </c>
    </row>
    <row r="164" spans="1:9" x14ac:dyDescent="0.3">
      <c r="A164" s="64"/>
      <c r="B164" s="258" t="s">
        <v>91</v>
      </c>
      <c r="C164" s="258"/>
      <c r="D164" s="258"/>
      <c r="E164" s="258"/>
      <c r="F164" s="55">
        <f>SUM(F159:F163)</f>
        <v>279.82</v>
      </c>
      <c r="G164" s="55">
        <f>SUM(G159:G163)</f>
        <v>1156.6399999999999</v>
      </c>
      <c r="H164" s="55">
        <f>SUM(H159:H163)</f>
        <v>1156.6399999999999</v>
      </c>
      <c r="I164" s="199">
        <f>SUM(I159:I163)</f>
        <v>96.38666666666667</v>
      </c>
    </row>
    <row r="165" spans="1:9" x14ac:dyDescent="0.3">
      <c r="A165" s="84"/>
      <c r="B165" s="84"/>
      <c r="C165" s="84"/>
      <c r="D165" s="84"/>
      <c r="E165" s="84"/>
      <c r="F165" s="84"/>
      <c r="G165" s="84"/>
      <c r="H165" s="84"/>
      <c r="I165" s="84"/>
    </row>
    <row r="166" spans="1:9" x14ac:dyDescent="0.3">
      <c r="A166" s="84"/>
      <c r="B166" s="84"/>
      <c r="C166" s="84"/>
      <c r="D166" s="84"/>
      <c r="E166" s="84"/>
      <c r="F166" s="84"/>
      <c r="G166" s="84"/>
      <c r="H166" s="84"/>
      <c r="I166" s="84"/>
    </row>
    <row r="167" spans="1:9" x14ac:dyDescent="0.3">
      <c r="A167" s="84"/>
      <c r="B167" s="84"/>
      <c r="C167" s="84"/>
      <c r="D167" s="84"/>
      <c r="E167" s="84"/>
      <c r="F167" s="84"/>
      <c r="G167" s="84"/>
      <c r="H167" s="84"/>
      <c r="I167" s="84"/>
    </row>
    <row r="168" spans="1:9" x14ac:dyDescent="0.3">
      <c r="A168" s="85"/>
      <c r="B168" s="85"/>
      <c r="C168" s="85"/>
      <c r="D168" s="85"/>
      <c r="E168" s="85"/>
      <c r="F168" s="85"/>
      <c r="G168" s="85"/>
      <c r="H168" s="85"/>
      <c r="I168" s="85"/>
    </row>
    <row r="169" spans="1:9" x14ac:dyDescent="0.3">
      <c r="A169" s="85"/>
      <c r="B169" s="85"/>
      <c r="C169" s="85"/>
      <c r="D169" s="85"/>
      <c r="E169" s="85"/>
      <c r="F169" s="85"/>
      <c r="G169" s="85"/>
      <c r="H169" s="85"/>
      <c r="I169" s="85"/>
    </row>
    <row r="170" spans="1:9" x14ac:dyDescent="0.3">
      <c r="A170" s="85"/>
      <c r="B170" s="85"/>
      <c r="C170" s="85"/>
      <c r="D170" s="85"/>
      <c r="E170" s="85"/>
      <c r="F170" s="85"/>
      <c r="G170" s="85"/>
      <c r="H170" s="85"/>
      <c r="I170" s="85"/>
    </row>
    <row r="171" spans="1:9" x14ac:dyDescent="0.3">
      <c r="A171" s="85"/>
      <c r="B171" s="85"/>
      <c r="C171" s="85"/>
      <c r="D171" s="85"/>
      <c r="E171" s="85"/>
      <c r="F171" s="85"/>
      <c r="G171" s="85"/>
      <c r="H171" s="85"/>
      <c r="I171" s="85"/>
    </row>
    <row r="172" spans="1:9" x14ac:dyDescent="0.3">
      <c r="A172" s="85"/>
      <c r="B172" s="85"/>
      <c r="C172" s="85"/>
      <c r="D172" s="85"/>
      <c r="E172" s="85"/>
      <c r="F172" s="85"/>
      <c r="G172" s="85"/>
      <c r="H172" s="85"/>
      <c r="I172" s="85"/>
    </row>
    <row r="173" spans="1:9" x14ac:dyDescent="0.3">
      <c r="A173" s="85"/>
      <c r="B173" s="85"/>
      <c r="C173" s="85"/>
      <c r="D173" s="85"/>
      <c r="E173" s="85"/>
      <c r="F173" s="85"/>
      <c r="G173" s="85"/>
      <c r="H173" s="85"/>
      <c r="I173" s="85"/>
    </row>
    <row r="174" spans="1:9" x14ac:dyDescent="0.3">
      <c r="A174" s="85"/>
      <c r="B174" s="85"/>
      <c r="C174" s="85"/>
      <c r="D174" s="85"/>
      <c r="E174" s="85"/>
      <c r="F174" s="85"/>
      <c r="G174" s="85"/>
      <c r="H174" s="85"/>
      <c r="I174" s="85"/>
    </row>
  </sheetData>
  <sheetProtection sheet="1" objects="1" scenarios="1"/>
  <protectedRanges>
    <protectedRange sqref="F159:F163" name="Intervalo14"/>
    <protectedRange sqref="F137:F142" name="Intervalo12"/>
    <protectedRange sqref="F113:F118" name="Intervalo10"/>
    <protectedRange sqref="F86:F90" name="Intervalo8"/>
    <protectedRange sqref="F62:F66" name="Intervalo6"/>
    <protectedRange sqref="F39:F43" name="Intervalo4"/>
    <protectedRange sqref="F14:F18" name="Intervalo2"/>
    <protectedRange sqref="F4:F9" name="Intervalo1"/>
    <protectedRange sqref="F29:F34" name="Intervalo3"/>
    <protectedRange sqref="F52:F57" name="Intervalo5"/>
    <protectedRange sqref="F76:F81" name="Intervalo7"/>
    <protectedRange sqref="F101:F107" name="Intervalo9"/>
    <protectedRange sqref="F123:F127" name="Intervalo11"/>
    <protectedRange sqref="F148:F152" name="Intervalo13"/>
  </protectedRanges>
  <mergeCells count="63">
    <mergeCell ref="C159:C163"/>
    <mergeCell ref="B164:E164"/>
    <mergeCell ref="B143:E143"/>
    <mergeCell ref="A146:I146"/>
    <mergeCell ref="C148:C152"/>
    <mergeCell ref="B153:E153"/>
    <mergeCell ref="A157:I157"/>
    <mergeCell ref="B132:E132"/>
    <mergeCell ref="A135:I135"/>
    <mergeCell ref="A137:A138"/>
    <mergeCell ref="B137:B138"/>
    <mergeCell ref="C137:C142"/>
    <mergeCell ref="D137:D138"/>
    <mergeCell ref="E137:E138"/>
    <mergeCell ref="F137:F138"/>
    <mergeCell ref="G137:G138"/>
    <mergeCell ref="H137:H138"/>
    <mergeCell ref="I137:I138"/>
    <mergeCell ref="B119:E119"/>
    <mergeCell ref="A121:I121"/>
    <mergeCell ref="C123:C127"/>
    <mergeCell ref="B128:E128"/>
    <mergeCell ref="A130:I130"/>
    <mergeCell ref="A99:I99"/>
    <mergeCell ref="C101:C107"/>
    <mergeCell ref="B108:E108"/>
    <mergeCell ref="A111:I111"/>
    <mergeCell ref="C113:C118"/>
    <mergeCell ref="A84:I84"/>
    <mergeCell ref="C86:C90"/>
    <mergeCell ref="B91:E91"/>
    <mergeCell ref="A93:I93"/>
    <mergeCell ref="B95:E95"/>
    <mergeCell ref="A69:I69"/>
    <mergeCell ref="B71:E71"/>
    <mergeCell ref="A74:I74"/>
    <mergeCell ref="C76:C81"/>
    <mergeCell ref="B82:E82"/>
    <mergeCell ref="C52:C57"/>
    <mergeCell ref="B58:E58"/>
    <mergeCell ref="A60:I60"/>
    <mergeCell ref="C62:C66"/>
    <mergeCell ref="B67:E67"/>
    <mergeCell ref="C39:C43"/>
    <mergeCell ref="B44:E44"/>
    <mergeCell ref="A46:I46"/>
    <mergeCell ref="B48:E48"/>
    <mergeCell ref="A50:I50"/>
    <mergeCell ref="A24:H24"/>
    <mergeCell ref="A27:I27"/>
    <mergeCell ref="C29:C34"/>
    <mergeCell ref="B35:E35"/>
    <mergeCell ref="A37:I37"/>
    <mergeCell ref="A12:I12"/>
    <mergeCell ref="C14:C18"/>
    <mergeCell ref="B19:E19"/>
    <mergeCell ref="A21:I21"/>
    <mergeCell ref="B23:E23"/>
    <mergeCell ref="A1:I1"/>
    <mergeCell ref="A2:I2"/>
    <mergeCell ref="C4:C9"/>
    <mergeCell ref="B10:E10"/>
    <mergeCell ref="A11:I11"/>
  </mergeCells>
  <pageMargins left="0.7" right="0.7" top="0.75" bottom="0.75"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3"/>
  <sheetViews>
    <sheetView zoomScale="110" zoomScaleNormal="110" workbookViewId="0">
      <selection activeCell="C3" sqref="C3"/>
    </sheetView>
  </sheetViews>
  <sheetFormatPr defaultColWidth="8.6640625" defaultRowHeight="14.4" x14ac:dyDescent="0.3"/>
  <cols>
    <col min="1" max="1" width="9.6640625" customWidth="1"/>
    <col min="2" max="2" width="42.44140625" customWidth="1"/>
    <col min="3" max="3" width="15.33203125" customWidth="1"/>
    <col min="4" max="4" width="18.5546875" customWidth="1"/>
    <col min="5" max="5" width="18.6640625" customWidth="1"/>
  </cols>
  <sheetData>
    <row r="1" spans="1:5" x14ac:dyDescent="0.3">
      <c r="A1" s="249" t="s">
        <v>376</v>
      </c>
      <c r="B1" s="249"/>
      <c r="C1" s="249"/>
      <c r="D1" s="249"/>
      <c r="E1" s="249"/>
    </row>
    <row r="2" spans="1:5" ht="19.5" customHeight="1" x14ac:dyDescent="0.3">
      <c r="A2" s="52" t="s">
        <v>1</v>
      </c>
      <c r="B2" s="52" t="s">
        <v>127</v>
      </c>
      <c r="C2" s="64" t="s">
        <v>128</v>
      </c>
      <c r="D2" s="1" t="s">
        <v>100</v>
      </c>
      <c r="E2" s="1" t="s">
        <v>112</v>
      </c>
    </row>
    <row r="3" spans="1:5" ht="19.5" customHeight="1" x14ac:dyDescent="0.3">
      <c r="A3" s="40">
        <v>1</v>
      </c>
      <c r="B3" s="86" t="s">
        <v>377</v>
      </c>
      <c r="C3" s="196">
        <v>27.25</v>
      </c>
      <c r="D3" s="3">
        <v>1</v>
      </c>
      <c r="E3" s="55">
        <f t="shared" ref="E3:E19" si="0">ROUND((C3*D3),2)</f>
        <v>27.25</v>
      </c>
    </row>
    <row r="4" spans="1:5" ht="19.5" customHeight="1" x14ac:dyDescent="0.3">
      <c r="A4" s="40">
        <v>2</v>
      </c>
      <c r="B4" s="87" t="s">
        <v>378</v>
      </c>
      <c r="C4" s="196">
        <v>14.39</v>
      </c>
      <c r="D4" s="3">
        <v>2</v>
      </c>
      <c r="E4" s="55">
        <f t="shared" si="0"/>
        <v>28.78</v>
      </c>
    </row>
    <row r="5" spans="1:5" ht="19.5" customHeight="1" x14ac:dyDescent="0.3">
      <c r="A5" s="40">
        <v>3</v>
      </c>
      <c r="B5" s="87" t="s">
        <v>379</v>
      </c>
      <c r="C5" s="196">
        <v>50.47</v>
      </c>
      <c r="D5" s="3">
        <v>1</v>
      </c>
      <c r="E5" s="55">
        <f t="shared" si="0"/>
        <v>50.47</v>
      </c>
    </row>
    <row r="6" spans="1:5" ht="19.5" customHeight="1" x14ac:dyDescent="0.3">
      <c r="A6" s="40">
        <v>4</v>
      </c>
      <c r="B6" s="88" t="s">
        <v>380</v>
      </c>
      <c r="C6" s="196">
        <v>40.15</v>
      </c>
      <c r="D6" s="3">
        <v>1</v>
      </c>
      <c r="E6" s="55">
        <f t="shared" si="0"/>
        <v>40.15</v>
      </c>
    </row>
    <row r="7" spans="1:5" ht="19.5" customHeight="1" x14ac:dyDescent="0.3">
      <c r="A7" s="40">
        <v>5</v>
      </c>
      <c r="B7" s="87" t="s">
        <v>381</v>
      </c>
      <c r="C7" s="196">
        <v>3.37</v>
      </c>
      <c r="D7" s="3">
        <v>4</v>
      </c>
      <c r="E7" s="55">
        <f t="shared" si="0"/>
        <v>13.48</v>
      </c>
    </row>
    <row r="8" spans="1:5" ht="19.5" customHeight="1" x14ac:dyDescent="0.3">
      <c r="A8" s="40">
        <v>6</v>
      </c>
      <c r="B8" s="87" t="s">
        <v>382</v>
      </c>
      <c r="C8" s="196">
        <v>16.14</v>
      </c>
      <c r="D8" s="3">
        <v>1</v>
      </c>
      <c r="E8" s="55">
        <f t="shared" si="0"/>
        <v>16.14</v>
      </c>
    </row>
    <row r="9" spans="1:5" ht="19.5" customHeight="1" x14ac:dyDescent="0.3">
      <c r="A9" s="40">
        <v>7</v>
      </c>
      <c r="B9" s="87" t="s">
        <v>383</v>
      </c>
      <c r="C9" s="196">
        <v>69.48</v>
      </c>
      <c r="D9" s="3">
        <v>1</v>
      </c>
      <c r="E9" s="55">
        <f t="shared" si="0"/>
        <v>69.48</v>
      </c>
    </row>
    <row r="10" spans="1:5" ht="19.5" customHeight="1" x14ac:dyDescent="0.3">
      <c r="A10" s="40">
        <v>8</v>
      </c>
      <c r="B10" s="87" t="s">
        <v>384</v>
      </c>
      <c r="C10" s="196">
        <v>24.5</v>
      </c>
      <c r="D10" s="3">
        <v>1</v>
      </c>
      <c r="E10" s="55">
        <f t="shared" si="0"/>
        <v>24.5</v>
      </c>
    </row>
    <row r="11" spans="1:5" ht="19.5" customHeight="1" x14ac:dyDescent="0.3">
      <c r="A11" s="40">
        <v>9</v>
      </c>
      <c r="B11" s="87" t="s">
        <v>385</v>
      </c>
      <c r="C11" s="196">
        <v>27.76</v>
      </c>
      <c r="D11" s="3">
        <v>1</v>
      </c>
      <c r="E11" s="55">
        <f t="shared" si="0"/>
        <v>27.76</v>
      </c>
    </row>
    <row r="12" spans="1:5" ht="19.5" customHeight="1" x14ac:dyDescent="0.3">
      <c r="A12" s="40">
        <v>10</v>
      </c>
      <c r="B12" s="87" t="s">
        <v>386</v>
      </c>
      <c r="C12" s="196">
        <v>62.11</v>
      </c>
      <c r="D12" s="3">
        <v>1</v>
      </c>
      <c r="E12" s="55">
        <f t="shared" si="0"/>
        <v>62.11</v>
      </c>
    </row>
    <row r="13" spans="1:5" ht="19.5" customHeight="1" x14ac:dyDescent="0.3">
      <c r="A13" s="40">
        <v>11</v>
      </c>
      <c r="B13" s="87" t="s">
        <v>387</v>
      </c>
      <c r="C13" s="196">
        <v>22.65</v>
      </c>
      <c r="D13" s="3">
        <v>1</v>
      </c>
      <c r="E13" s="55">
        <f t="shared" si="0"/>
        <v>22.65</v>
      </c>
    </row>
    <row r="14" spans="1:5" ht="19.5" customHeight="1" x14ac:dyDescent="0.3">
      <c r="A14" s="40">
        <v>12</v>
      </c>
      <c r="B14" s="87" t="s">
        <v>388</v>
      </c>
      <c r="C14" s="196">
        <v>37.08</v>
      </c>
      <c r="D14" s="3">
        <v>6</v>
      </c>
      <c r="E14" s="55">
        <f t="shared" si="0"/>
        <v>222.48</v>
      </c>
    </row>
    <row r="15" spans="1:5" ht="19.5" customHeight="1" x14ac:dyDescent="0.3">
      <c r="A15" s="40">
        <v>13</v>
      </c>
      <c r="B15" s="87" t="s">
        <v>389</v>
      </c>
      <c r="C15" s="196">
        <v>32.08</v>
      </c>
      <c r="D15" s="3">
        <v>1</v>
      </c>
      <c r="E15" s="55">
        <f t="shared" si="0"/>
        <v>32.08</v>
      </c>
    </row>
    <row r="16" spans="1:5" ht="19.5" customHeight="1" x14ac:dyDescent="0.3">
      <c r="A16" s="40">
        <v>14</v>
      </c>
      <c r="B16" s="87" t="s">
        <v>390</v>
      </c>
      <c r="C16" s="196">
        <v>36.659999999999997</v>
      </c>
      <c r="D16" s="3">
        <v>1</v>
      </c>
      <c r="E16" s="55">
        <f t="shared" si="0"/>
        <v>36.659999999999997</v>
      </c>
    </row>
    <row r="17" spans="1:5" ht="19.5" customHeight="1" x14ac:dyDescent="0.3">
      <c r="A17" s="40">
        <v>15</v>
      </c>
      <c r="B17" s="87" t="s">
        <v>391</v>
      </c>
      <c r="C17" s="196">
        <v>33.17</v>
      </c>
      <c r="D17" s="3">
        <v>1</v>
      </c>
      <c r="E17" s="55">
        <f t="shared" si="0"/>
        <v>33.17</v>
      </c>
    </row>
    <row r="18" spans="1:5" ht="19.5" customHeight="1" x14ac:dyDescent="0.3">
      <c r="A18" s="40">
        <v>16</v>
      </c>
      <c r="B18" s="87" t="s">
        <v>392</v>
      </c>
      <c r="C18" s="196">
        <v>23.93</v>
      </c>
      <c r="D18" s="3">
        <v>2</v>
      </c>
      <c r="E18" s="55">
        <f t="shared" si="0"/>
        <v>47.86</v>
      </c>
    </row>
    <row r="19" spans="1:5" ht="19.5" customHeight="1" x14ac:dyDescent="0.3">
      <c r="A19" s="40">
        <v>17</v>
      </c>
      <c r="B19" s="87" t="s">
        <v>393</v>
      </c>
      <c r="C19" s="196">
        <v>33.4</v>
      </c>
      <c r="D19" s="3">
        <v>2</v>
      </c>
      <c r="E19" s="55">
        <f t="shared" si="0"/>
        <v>66.8</v>
      </c>
    </row>
    <row r="20" spans="1:5" ht="19.5" customHeight="1" x14ac:dyDescent="0.3">
      <c r="A20" s="62"/>
      <c r="B20" s="60"/>
      <c r="C20" s="40"/>
      <c r="D20" s="40"/>
      <c r="E20" s="40"/>
    </row>
    <row r="21" spans="1:5" ht="19.5" customHeight="1" x14ac:dyDescent="0.3">
      <c r="A21" s="62"/>
      <c r="B21" s="60"/>
      <c r="C21" s="40"/>
      <c r="D21" s="40"/>
      <c r="E21" s="40"/>
    </row>
    <row r="22" spans="1:5" ht="19.5" customHeight="1" x14ac:dyDescent="0.3">
      <c r="A22" s="62"/>
      <c r="B22" s="60"/>
      <c r="C22" s="55">
        <f>ROUND(SUM(C3:C19),2)</f>
        <v>554.59</v>
      </c>
      <c r="D22" s="40"/>
      <c r="E22" s="55">
        <f>ROUND(SUM(E3:E19),2)</f>
        <v>821.82</v>
      </c>
    </row>
    <row r="23" spans="1:5" ht="19.5" customHeight="1" x14ac:dyDescent="0.3">
      <c r="A23" s="72"/>
      <c r="B23" s="89"/>
      <c r="C23" s="72"/>
      <c r="D23" s="72"/>
      <c r="E23" s="72"/>
    </row>
    <row r="24" spans="1:5" ht="19.5" customHeight="1" x14ac:dyDescent="0.3">
      <c r="A24" s="51"/>
      <c r="B24" s="51"/>
      <c r="C24" s="250" t="s">
        <v>149</v>
      </c>
      <c r="D24" s="250"/>
      <c r="E24" s="90">
        <f>ROUND((E22/12),2)</f>
        <v>68.489999999999995</v>
      </c>
    </row>
    <row r="25" spans="1:5" x14ac:dyDescent="0.3">
      <c r="A25" s="32"/>
      <c r="B25" s="32"/>
      <c r="C25" s="32"/>
      <c r="D25" s="32"/>
      <c r="E25" s="32"/>
    </row>
    <row r="26" spans="1:5" x14ac:dyDescent="0.3">
      <c r="A26" s="32"/>
      <c r="B26" s="32"/>
      <c r="C26" s="32"/>
      <c r="D26" s="32"/>
      <c r="E26" s="32"/>
    </row>
    <row r="27" spans="1:5" x14ac:dyDescent="0.3">
      <c r="A27" s="32"/>
      <c r="B27" s="32"/>
      <c r="C27" s="32"/>
      <c r="D27" s="32"/>
      <c r="E27" s="32"/>
    </row>
    <row r="28" spans="1:5" x14ac:dyDescent="0.3">
      <c r="A28" s="32"/>
      <c r="B28" s="32"/>
      <c r="C28" s="32"/>
      <c r="D28" s="32"/>
      <c r="E28" s="32"/>
    </row>
    <row r="29" spans="1:5" x14ac:dyDescent="0.3">
      <c r="A29" s="32"/>
      <c r="B29" s="32"/>
      <c r="C29" s="32"/>
      <c r="D29" s="32"/>
      <c r="E29" s="32"/>
    </row>
    <row r="30" spans="1:5" x14ac:dyDescent="0.3">
      <c r="A30" s="32"/>
      <c r="B30" s="32"/>
      <c r="C30" s="32"/>
      <c r="D30" s="32"/>
      <c r="E30" s="32"/>
    </row>
    <row r="31" spans="1:5" x14ac:dyDescent="0.3">
      <c r="A31" s="32"/>
      <c r="B31" s="32"/>
      <c r="C31" s="32"/>
      <c r="D31" s="32"/>
      <c r="E31" s="32"/>
    </row>
    <row r="32" spans="1:5" x14ac:dyDescent="0.3">
      <c r="A32" s="32"/>
      <c r="B32" s="32"/>
      <c r="C32" s="32"/>
      <c r="D32" s="32"/>
      <c r="E32" s="32"/>
    </row>
    <row r="33" spans="1:5" x14ac:dyDescent="0.3">
      <c r="A33" s="32"/>
      <c r="B33" s="32"/>
      <c r="C33" s="32"/>
      <c r="D33" s="32"/>
      <c r="E33" s="32"/>
    </row>
  </sheetData>
  <sheetProtection sheet="1" objects="1" scenarios="1"/>
  <protectedRanges>
    <protectedRange sqref="C3:C19" name="Intervalo1"/>
  </protectedRanges>
  <mergeCells count="2">
    <mergeCell ref="A1:E1"/>
    <mergeCell ref="C24:D24"/>
  </mergeCells>
  <pageMargins left="0.51180555555555596" right="0.51180555555555596" top="0.78749999999999998" bottom="0.78749999999999998" header="0.511811023622047" footer="0.511811023622047"/>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7"/>
  <sheetViews>
    <sheetView zoomScale="110" zoomScaleNormal="110" workbookViewId="0">
      <selection activeCell="C3" sqref="C3"/>
    </sheetView>
  </sheetViews>
  <sheetFormatPr defaultColWidth="8.6640625" defaultRowHeight="14.4" x14ac:dyDescent="0.3"/>
  <cols>
    <col min="2" max="2" width="36.6640625" customWidth="1"/>
    <col min="3" max="6" width="17.109375" customWidth="1"/>
    <col min="7" max="7" width="17.44140625" customWidth="1"/>
    <col min="8" max="8" width="17.6640625" customWidth="1"/>
  </cols>
  <sheetData>
    <row r="1" spans="1:9" x14ac:dyDescent="0.3">
      <c r="A1" s="249" t="s">
        <v>394</v>
      </c>
      <c r="B1" s="249"/>
      <c r="C1" s="249"/>
      <c r="D1" s="249"/>
      <c r="E1" s="249"/>
      <c r="F1" s="249"/>
      <c r="G1" s="249"/>
      <c r="H1" s="249"/>
      <c r="I1" s="21"/>
    </row>
    <row r="2" spans="1:9" ht="20.399999999999999" x14ac:dyDescent="0.3">
      <c r="A2" s="64" t="s">
        <v>1</v>
      </c>
      <c r="B2" s="64" t="s">
        <v>127</v>
      </c>
      <c r="C2" s="1" t="s">
        <v>101</v>
      </c>
      <c r="D2" s="1" t="s">
        <v>102</v>
      </c>
      <c r="E2" s="1" t="s">
        <v>103</v>
      </c>
      <c r="F2" s="1" t="s">
        <v>104</v>
      </c>
      <c r="G2" s="1" t="s">
        <v>100</v>
      </c>
      <c r="H2" s="1" t="s">
        <v>112</v>
      </c>
      <c r="I2" s="21"/>
    </row>
    <row r="3" spans="1:9" x14ac:dyDescent="0.3">
      <c r="A3" s="40">
        <v>1</v>
      </c>
      <c r="B3" s="91" t="s">
        <v>395</v>
      </c>
      <c r="C3" s="196">
        <v>23.6</v>
      </c>
      <c r="D3" s="55">
        <f>ROUND((C3*'Salários.VA.VT.QteDias.LDI.T'!$G$48),2)</f>
        <v>2.4300000000000002</v>
      </c>
      <c r="E3" s="55">
        <f>ROUND((((C3+D3)/(1-'Salários.VA.VT.QteDias.LDI.T'!$G$56))*'Salários.VA.VT.QteDias.LDI.T'!$G$56),2)</f>
        <v>2.46</v>
      </c>
      <c r="F3" s="55">
        <f t="shared" ref="F3:F28" si="0">ROUND(SUM(C3:E3),2)</f>
        <v>28.49</v>
      </c>
      <c r="G3" s="3">
        <v>10</v>
      </c>
      <c r="H3" s="55">
        <f t="shared" ref="H3:H28" si="1">ROUND((F3*G3),2)</f>
        <v>284.89999999999998</v>
      </c>
      <c r="I3" s="21"/>
    </row>
    <row r="4" spans="1:9" x14ac:dyDescent="0.3">
      <c r="A4" s="40">
        <v>2</v>
      </c>
      <c r="B4" s="91" t="s">
        <v>396</v>
      </c>
      <c r="C4" s="196">
        <v>14.19</v>
      </c>
      <c r="D4" s="55">
        <f>ROUND((C4*'Salários.VA.VT.QteDias.LDI.T'!$G$48),2)</f>
        <v>1.46</v>
      </c>
      <c r="E4" s="55">
        <f>ROUND((((C4+D4)/(1-'Salários.VA.VT.QteDias.LDI.T'!$G$56))*'Salários.VA.VT.QteDias.LDI.T'!$G$56),2)</f>
        <v>1.48</v>
      </c>
      <c r="F4" s="55">
        <f t="shared" si="0"/>
        <v>17.13</v>
      </c>
      <c r="G4" s="3">
        <v>10</v>
      </c>
      <c r="H4" s="55">
        <f t="shared" si="1"/>
        <v>171.3</v>
      </c>
      <c r="I4" s="21"/>
    </row>
    <row r="5" spans="1:9" x14ac:dyDescent="0.3">
      <c r="A5" s="40">
        <v>3</v>
      </c>
      <c r="B5" s="91" t="s">
        <v>397</v>
      </c>
      <c r="C5" s="196">
        <v>36.33</v>
      </c>
      <c r="D5" s="55">
        <f>ROUND((C5*'Salários.VA.VT.QteDias.LDI.T'!$G$48),2)</f>
        <v>3.74</v>
      </c>
      <c r="E5" s="55">
        <f>ROUND((((C5+D5)/(1-'Salários.VA.VT.QteDias.LDI.T'!$G$56))*'Salários.VA.VT.QteDias.LDI.T'!$G$56),2)</f>
        <v>3.79</v>
      </c>
      <c r="F5" s="55">
        <f t="shared" si="0"/>
        <v>43.86</v>
      </c>
      <c r="G5" s="3">
        <v>10</v>
      </c>
      <c r="H5" s="55">
        <f t="shared" si="1"/>
        <v>438.6</v>
      </c>
      <c r="I5" s="21"/>
    </row>
    <row r="6" spans="1:9" ht="15" customHeight="1" x14ac:dyDescent="0.3">
      <c r="A6" s="40">
        <v>4</v>
      </c>
      <c r="B6" s="92" t="s">
        <v>398</v>
      </c>
      <c r="C6" s="196">
        <v>15.33</v>
      </c>
      <c r="D6" s="55">
        <f>ROUND((C6*'Salários.VA.VT.QteDias.LDI.T'!$G$48),2)</f>
        <v>1.58</v>
      </c>
      <c r="E6" s="55">
        <f>ROUND((((C6+D6)/(1-'Salários.VA.VT.QteDias.LDI.T'!$G$56))*'Salários.VA.VT.QteDias.LDI.T'!$G$56),2)</f>
        <v>1.6</v>
      </c>
      <c r="F6" s="55">
        <f t="shared" si="0"/>
        <v>18.510000000000002</v>
      </c>
      <c r="G6" s="3">
        <v>10</v>
      </c>
      <c r="H6" s="55">
        <f t="shared" si="1"/>
        <v>185.1</v>
      </c>
      <c r="I6" s="21"/>
    </row>
    <row r="7" spans="1:9" ht="15" customHeight="1" x14ac:dyDescent="0.3">
      <c r="A7" s="40">
        <v>5</v>
      </c>
      <c r="B7" s="91" t="s">
        <v>399</v>
      </c>
      <c r="C7" s="196">
        <v>17.829999999999998</v>
      </c>
      <c r="D7" s="55">
        <f>ROUND((C7*'Salários.VA.VT.QteDias.LDI.T'!$G$48),2)</f>
        <v>1.84</v>
      </c>
      <c r="E7" s="55">
        <f>ROUND((((C7+D7)/(1-'Salários.VA.VT.QteDias.LDI.T'!$G$56))*'Salários.VA.VT.QteDias.LDI.T'!$G$56),2)</f>
        <v>1.86</v>
      </c>
      <c r="F7" s="55">
        <f t="shared" si="0"/>
        <v>21.53</v>
      </c>
      <c r="G7" s="3">
        <v>10</v>
      </c>
      <c r="H7" s="55">
        <f t="shared" si="1"/>
        <v>215.3</v>
      </c>
      <c r="I7" s="21"/>
    </row>
    <row r="8" spans="1:9" x14ac:dyDescent="0.3">
      <c r="A8" s="40">
        <v>6</v>
      </c>
      <c r="B8" s="91" t="s">
        <v>400</v>
      </c>
      <c r="C8" s="196">
        <v>24.88</v>
      </c>
      <c r="D8" s="55">
        <f>ROUND((C8*'Salários.VA.VT.QteDias.LDI.T'!$G$48),2)</f>
        <v>2.56</v>
      </c>
      <c r="E8" s="55">
        <f>ROUND((((C8+D8)/(1-'Salários.VA.VT.QteDias.LDI.T'!$G$56))*'Salários.VA.VT.QteDias.LDI.T'!$G$56),2)</f>
        <v>2.6</v>
      </c>
      <c r="F8" s="55">
        <f t="shared" si="0"/>
        <v>30.04</v>
      </c>
      <c r="G8" s="3">
        <v>10</v>
      </c>
      <c r="H8" s="55">
        <f t="shared" si="1"/>
        <v>300.39999999999998</v>
      </c>
      <c r="I8" s="21"/>
    </row>
    <row r="9" spans="1:9" x14ac:dyDescent="0.3">
      <c r="A9" s="40">
        <v>7</v>
      </c>
      <c r="B9" s="91" t="s">
        <v>401</v>
      </c>
      <c r="C9" s="196">
        <v>25.91</v>
      </c>
      <c r="D9" s="55">
        <f>ROUND((C9*'Salários.VA.VT.QteDias.LDI.T'!$G$48),2)</f>
        <v>2.67</v>
      </c>
      <c r="E9" s="55">
        <f>ROUND((((C9+D9)/(1-'Salários.VA.VT.QteDias.LDI.T'!$G$56))*'Salários.VA.VT.QteDias.LDI.T'!$G$56),2)</f>
        <v>2.71</v>
      </c>
      <c r="F9" s="55">
        <f t="shared" si="0"/>
        <v>31.29</v>
      </c>
      <c r="G9" s="3">
        <v>10</v>
      </c>
      <c r="H9" s="55">
        <f t="shared" si="1"/>
        <v>312.89999999999998</v>
      </c>
      <c r="I9" s="21"/>
    </row>
    <row r="10" spans="1:9" x14ac:dyDescent="0.3">
      <c r="A10" s="40">
        <v>8</v>
      </c>
      <c r="B10" s="91" t="s">
        <v>402</v>
      </c>
      <c r="C10" s="196">
        <v>39.67</v>
      </c>
      <c r="D10" s="55">
        <f>ROUND((C10*'Salários.VA.VT.QteDias.LDI.T'!$G$48),2)</f>
        <v>4.09</v>
      </c>
      <c r="E10" s="55">
        <f>ROUND((((C10+D10)/(1-'Salários.VA.VT.QteDias.LDI.T'!$G$56))*'Salários.VA.VT.QteDias.LDI.T'!$G$56),2)</f>
        <v>4.1399999999999997</v>
      </c>
      <c r="F10" s="55">
        <f t="shared" si="0"/>
        <v>47.9</v>
      </c>
      <c r="G10" s="3">
        <v>10</v>
      </c>
      <c r="H10" s="55">
        <f t="shared" si="1"/>
        <v>479</v>
      </c>
      <c r="I10" s="21"/>
    </row>
    <row r="11" spans="1:9" x14ac:dyDescent="0.3">
      <c r="A11" s="40">
        <v>9</v>
      </c>
      <c r="B11" s="91" t="s">
        <v>403</v>
      </c>
      <c r="C11" s="196">
        <v>48.88</v>
      </c>
      <c r="D11" s="55">
        <f>ROUND((C11*'Salários.VA.VT.QteDias.LDI.T'!$G$48),2)</f>
        <v>5.03</v>
      </c>
      <c r="E11" s="55">
        <f>ROUND((((C11+D11)/(1-'Salários.VA.VT.QteDias.LDI.T'!$G$56))*'Salários.VA.VT.QteDias.LDI.T'!$G$56),2)</f>
        <v>5.0999999999999996</v>
      </c>
      <c r="F11" s="55">
        <f t="shared" si="0"/>
        <v>59.01</v>
      </c>
      <c r="G11" s="3">
        <v>10</v>
      </c>
      <c r="H11" s="55">
        <f t="shared" si="1"/>
        <v>590.1</v>
      </c>
      <c r="I11" s="21"/>
    </row>
    <row r="12" spans="1:9" x14ac:dyDescent="0.3">
      <c r="A12" s="40">
        <v>10</v>
      </c>
      <c r="B12" s="91" t="s">
        <v>404</v>
      </c>
      <c r="C12" s="196">
        <v>21.26</v>
      </c>
      <c r="D12" s="55">
        <f>ROUND((C12*'Salários.VA.VT.QteDias.LDI.T'!$G$48),2)</f>
        <v>2.19</v>
      </c>
      <c r="E12" s="55">
        <f>ROUND((((C12+D12)/(1-'Salários.VA.VT.QteDias.LDI.T'!$G$56))*'Salários.VA.VT.QteDias.LDI.T'!$G$56),2)</f>
        <v>2.2200000000000002</v>
      </c>
      <c r="F12" s="55">
        <f t="shared" si="0"/>
        <v>25.67</v>
      </c>
      <c r="G12" s="3">
        <v>10</v>
      </c>
      <c r="H12" s="55">
        <f t="shared" si="1"/>
        <v>256.7</v>
      </c>
      <c r="I12" s="21"/>
    </row>
    <row r="13" spans="1:9" x14ac:dyDescent="0.3">
      <c r="A13" s="40">
        <v>11</v>
      </c>
      <c r="B13" s="91" t="s">
        <v>405</v>
      </c>
      <c r="C13" s="196">
        <v>17.690000000000001</v>
      </c>
      <c r="D13" s="55">
        <f>ROUND((C13*'Salários.VA.VT.QteDias.LDI.T'!$G$48),2)</f>
        <v>1.82</v>
      </c>
      <c r="E13" s="55">
        <f>ROUND((((C13+D13)/(1-'Salários.VA.VT.QteDias.LDI.T'!$G$56))*'Salários.VA.VT.QteDias.LDI.T'!$G$56),2)</f>
        <v>1.85</v>
      </c>
      <c r="F13" s="55">
        <f t="shared" si="0"/>
        <v>21.36</v>
      </c>
      <c r="G13" s="3">
        <v>10</v>
      </c>
      <c r="H13" s="55">
        <f t="shared" si="1"/>
        <v>213.6</v>
      </c>
      <c r="I13" s="21"/>
    </row>
    <row r="14" spans="1:9" x14ac:dyDescent="0.3">
      <c r="A14" s="40">
        <v>12</v>
      </c>
      <c r="B14" s="91" t="s">
        <v>406</v>
      </c>
      <c r="C14" s="196">
        <v>12.96</v>
      </c>
      <c r="D14" s="55">
        <f>ROUND((C14*'Salários.VA.VT.QteDias.LDI.T'!$G$48),2)</f>
        <v>1.33</v>
      </c>
      <c r="E14" s="55">
        <f>ROUND((((C14+D14)/(1-'Salários.VA.VT.QteDias.LDI.T'!$G$56))*'Salários.VA.VT.QteDias.LDI.T'!$G$56),2)</f>
        <v>1.35</v>
      </c>
      <c r="F14" s="55">
        <f t="shared" si="0"/>
        <v>15.64</v>
      </c>
      <c r="G14" s="3">
        <v>10</v>
      </c>
      <c r="H14" s="55">
        <f t="shared" si="1"/>
        <v>156.4</v>
      </c>
      <c r="I14" s="21"/>
    </row>
    <row r="15" spans="1:9" x14ac:dyDescent="0.3">
      <c r="A15" s="40">
        <v>13</v>
      </c>
      <c r="B15" s="91" t="s">
        <v>407</v>
      </c>
      <c r="C15" s="196">
        <v>29.98</v>
      </c>
      <c r="D15" s="55">
        <f>ROUND((C15*'Salários.VA.VT.QteDias.LDI.T'!$G$48),2)</f>
        <v>3.09</v>
      </c>
      <c r="E15" s="55">
        <f>ROUND((((C15+D15)/(1-'Salários.VA.VT.QteDias.LDI.T'!$G$56))*'Salários.VA.VT.QteDias.LDI.T'!$G$56),2)</f>
        <v>3.13</v>
      </c>
      <c r="F15" s="55">
        <f t="shared" si="0"/>
        <v>36.200000000000003</v>
      </c>
      <c r="G15" s="3">
        <v>10</v>
      </c>
      <c r="H15" s="55">
        <f t="shared" si="1"/>
        <v>362</v>
      </c>
      <c r="I15" s="21"/>
    </row>
    <row r="16" spans="1:9" x14ac:dyDescent="0.3">
      <c r="A16" s="40">
        <v>14</v>
      </c>
      <c r="B16" s="91" t="s">
        <v>408</v>
      </c>
      <c r="C16" s="196">
        <v>17.54</v>
      </c>
      <c r="D16" s="55">
        <f>ROUND((C16*'Salários.VA.VT.QteDias.LDI.T'!$G$48),2)</f>
        <v>1.81</v>
      </c>
      <c r="E16" s="55">
        <f>ROUND((((C16+D16)/(1-'Salários.VA.VT.QteDias.LDI.T'!$G$56))*'Salários.VA.VT.QteDias.LDI.T'!$G$56),2)</f>
        <v>1.83</v>
      </c>
      <c r="F16" s="55">
        <f t="shared" si="0"/>
        <v>21.18</v>
      </c>
      <c r="G16" s="3">
        <v>10</v>
      </c>
      <c r="H16" s="55">
        <f t="shared" si="1"/>
        <v>211.8</v>
      </c>
      <c r="I16" s="21"/>
    </row>
    <row r="17" spans="1:9" x14ac:dyDescent="0.3">
      <c r="A17" s="40">
        <v>15</v>
      </c>
      <c r="B17" s="91" t="s">
        <v>409</v>
      </c>
      <c r="C17" s="196">
        <v>13.38</v>
      </c>
      <c r="D17" s="55">
        <f>ROUND((C17*'Salários.VA.VT.QteDias.LDI.T'!$G$48),2)</f>
        <v>1.38</v>
      </c>
      <c r="E17" s="55">
        <f>ROUND((((C17+D17)/(1-'Salários.VA.VT.QteDias.LDI.T'!$G$56))*'Salários.VA.VT.QteDias.LDI.T'!$G$56),2)</f>
        <v>1.4</v>
      </c>
      <c r="F17" s="55">
        <f t="shared" si="0"/>
        <v>16.16</v>
      </c>
      <c r="G17" s="3">
        <v>10</v>
      </c>
      <c r="H17" s="55">
        <f t="shared" si="1"/>
        <v>161.6</v>
      </c>
      <c r="I17" s="21"/>
    </row>
    <row r="18" spans="1:9" x14ac:dyDescent="0.3">
      <c r="A18" s="40">
        <v>16</v>
      </c>
      <c r="B18" s="91" t="s">
        <v>410</v>
      </c>
      <c r="C18" s="196">
        <v>30.75</v>
      </c>
      <c r="D18" s="55">
        <f>ROUND((C18*'Salários.VA.VT.QteDias.LDI.T'!$G$48),2)</f>
        <v>3.17</v>
      </c>
      <c r="E18" s="55">
        <f>ROUND((((C18+D18)/(1-'Salários.VA.VT.QteDias.LDI.T'!$G$56))*'Salários.VA.VT.QteDias.LDI.T'!$G$56),2)</f>
        <v>3.21</v>
      </c>
      <c r="F18" s="55">
        <f t="shared" si="0"/>
        <v>37.130000000000003</v>
      </c>
      <c r="G18" s="3">
        <v>10</v>
      </c>
      <c r="H18" s="55">
        <f t="shared" si="1"/>
        <v>371.3</v>
      </c>
      <c r="I18" s="21"/>
    </row>
    <row r="19" spans="1:9" x14ac:dyDescent="0.3">
      <c r="A19" s="40">
        <v>17</v>
      </c>
      <c r="B19" s="91" t="s">
        <v>411</v>
      </c>
      <c r="C19" s="196">
        <v>2.74</v>
      </c>
      <c r="D19" s="55">
        <f>ROUND((C19*'Salários.VA.VT.QteDias.LDI.T'!$G$48),2)</f>
        <v>0.28000000000000003</v>
      </c>
      <c r="E19" s="55">
        <f>ROUND((((C19+D19)/(1-'Salários.VA.VT.QteDias.LDI.T'!$G$56))*'Salários.VA.VT.QteDias.LDI.T'!$G$56),2)</f>
        <v>0.28999999999999998</v>
      </c>
      <c r="F19" s="55">
        <f t="shared" si="0"/>
        <v>3.31</v>
      </c>
      <c r="G19" s="3">
        <v>10</v>
      </c>
      <c r="H19" s="55">
        <f t="shared" si="1"/>
        <v>33.1</v>
      </c>
      <c r="I19" s="21"/>
    </row>
    <row r="20" spans="1:9" x14ac:dyDescent="0.3">
      <c r="A20" s="40">
        <v>18</v>
      </c>
      <c r="B20" s="91" t="s">
        <v>412</v>
      </c>
      <c r="C20" s="196">
        <v>28.86</v>
      </c>
      <c r="D20" s="55">
        <f>ROUND((C20*'Salários.VA.VT.QteDias.LDI.T'!$G$48),2)</f>
        <v>2.97</v>
      </c>
      <c r="E20" s="55">
        <f>ROUND((((C20+D20)/(1-'Salários.VA.VT.QteDias.LDI.T'!$G$56))*'Salários.VA.VT.QteDias.LDI.T'!$G$56),2)</f>
        <v>3.01</v>
      </c>
      <c r="F20" s="55">
        <f t="shared" si="0"/>
        <v>34.840000000000003</v>
      </c>
      <c r="G20" s="3">
        <v>10</v>
      </c>
      <c r="H20" s="55">
        <f t="shared" si="1"/>
        <v>348.4</v>
      </c>
      <c r="I20" s="21"/>
    </row>
    <row r="21" spans="1:9" x14ac:dyDescent="0.3">
      <c r="A21" s="40">
        <v>19</v>
      </c>
      <c r="B21" s="91" t="s">
        <v>413</v>
      </c>
      <c r="C21" s="196">
        <v>54.66</v>
      </c>
      <c r="D21" s="55">
        <f>ROUND((C21*'Salários.VA.VT.QteDias.LDI.T'!$G$48),2)</f>
        <v>5.63</v>
      </c>
      <c r="E21" s="55">
        <f>ROUND((((C21+D21)/(1-'Salários.VA.VT.QteDias.LDI.T'!$G$56))*'Salários.VA.VT.QteDias.LDI.T'!$G$56),2)</f>
        <v>5.71</v>
      </c>
      <c r="F21" s="55">
        <f t="shared" si="0"/>
        <v>66</v>
      </c>
      <c r="G21" s="3">
        <v>10</v>
      </c>
      <c r="H21" s="55">
        <f t="shared" si="1"/>
        <v>660</v>
      </c>
      <c r="I21" s="21"/>
    </row>
    <row r="22" spans="1:9" x14ac:dyDescent="0.3">
      <c r="A22" s="40">
        <v>20</v>
      </c>
      <c r="B22" s="91" t="s">
        <v>414</v>
      </c>
      <c r="C22" s="196">
        <v>31.03</v>
      </c>
      <c r="D22" s="55">
        <f>ROUND((C22*'Salários.VA.VT.QteDias.LDI.T'!$G$48),2)</f>
        <v>3.2</v>
      </c>
      <c r="E22" s="55">
        <f>ROUND((((C22+D22)/(1-'Salários.VA.VT.QteDias.LDI.T'!$G$56))*'Salários.VA.VT.QteDias.LDI.T'!$G$56),2)</f>
        <v>3.24</v>
      </c>
      <c r="F22" s="55">
        <f t="shared" si="0"/>
        <v>37.47</v>
      </c>
      <c r="G22" s="3">
        <v>10</v>
      </c>
      <c r="H22" s="55">
        <f t="shared" si="1"/>
        <v>374.7</v>
      </c>
      <c r="I22" s="21"/>
    </row>
    <row r="23" spans="1:9" ht="15" customHeight="1" x14ac:dyDescent="0.3">
      <c r="A23" s="40">
        <v>21</v>
      </c>
      <c r="B23" s="91" t="s">
        <v>415</v>
      </c>
      <c r="C23" s="196">
        <v>3.31</v>
      </c>
      <c r="D23" s="55">
        <f>ROUND((C23*'Salários.VA.VT.QteDias.LDI.T'!$G$48),2)</f>
        <v>0.34</v>
      </c>
      <c r="E23" s="55">
        <f>ROUND((((C23+D23)/(1-'Salários.VA.VT.QteDias.LDI.T'!$G$56))*'Salários.VA.VT.QteDias.LDI.T'!$G$56),2)</f>
        <v>0.35</v>
      </c>
      <c r="F23" s="55">
        <f t="shared" si="0"/>
        <v>4</v>
      </c>
      <c r="G23" s="3">
        <v>10</v>
      </c>
      <c r="H23" s="55">
        <f t="shared" si="1"/>
        <v>40</v>
      </c>
      <c r="I23" s="21"/>
    </row>
    <row r="24" spans="1:9" x14ac:dyDescent="0.3">
      <c r="A24" s="40">
        <v>22</v>
      </c>
      <c r="B24" s="91" t="s">
        <v>416</v>
      </c>
      <c r="C24" s="196">
        <v>43.22</v>
      </c>
      <c r="D24" s="55">
        <f>ROUND((C24*'Salários.VA.VT.QteDias.LDI.T'!$G$48),2)</f>
        <v>4.45</v>
      </c>
      <c r="E24" s="55">
        <f>ROUND((((C24+D24)/(1-'Salários.VA.VT.QteDias.LDI.T'!$G$56))*'Salários.VA.VT.QteDias.LDI.T'!$G$56),2)</f>
        <v>4.51</v>
      </c>
      <c r="F24" s="55">
        <f t="shared" si="0"/>
        <v>52.18</v>
      </c>
      <c r="G24" s="3">
        <v>10</v>
      </c>
      <c r="H24" s="55">
        <f t="shared" si="1"/>
        <v>521.79999999999995</v>
      </c>
      <c r="I24" s="21"/>
    </row>
    <row r="25" spans="1:9" x14ac:dyDescent="0.3">
      <c r="A25" s="40">
        <v>23</v>
      </c>
      <c r="B25" s="91" t="s">
        <v>417</v>
      </c>
      <c r="C25" s="196">
        <v>28.91</v>
      </c>
      <c r="D25" s="55">
        <f>ROUND((C25*'Salários.VA.VT.QteDias.LDI.T'!$G$48),2)</f>
        <v>2.98</v>
      </c>
      <c r="E25" s="55">
        <f>ROUND((((C25+D25)/(1-'Salários.VA.VT.QteDias.LDI.T'!$G$56))*'Salários.VA.VT.QteDias.LDI.T'!$G$56),2)</f>
        <v>3.02</v>
      </c>
      <c r="F25" s="55">
        <f t="shared" si="0"/>
        <v>34.909999999999997</v>
      </c>
      <c r="G25" s="3">
        <v>10</v>
      </c>
      <c r="H25" s="55">
        <f t="shared" si="1"/>
        <v>349.1</v>
      </c>
      <c r="I25" s="21"/>
    </row>
    <row r="26" spans="1:9" x14ac:dyDescent="0.3">
      <c r="A26" s="40">
        <v>24</v>
      </c>
      <c r="B26" s="93" t="s">
        <v>418</v>
      </c>
      <c r="C26" s="200">
        <v>17.760000000000002</v>
      </c>
      <c r="D26" s="55">
        <f>ROUND((C26*'Salários.VA.VT.QteDias.LDI.T'!$G$48),2)</f>
        <v>1.83</v>
      </c>
      <c r="E26" s="55">
        <f>ROUND((((C26+D26)/(1-'Salários.VA.VT.QteDias.LDI.T'!$G$56))*'Salários.VA.VT.QteDias.LDI.T'!$G$56),2)</f>
        <v>1.85</v>
      </c>
      <c r="F26" s="55">
        <f t="shared" si="0"/>
        <v>21.44</v>
      </c>
      <c r="G26" s="3">
        <v>10</v>
      </c>
      <c r="H26" s="55">
        <f t="shared" si="1"/>
        <v>214.4</v>
      </c>
      <c r="I26" s="21"/>
    </row>
    <row r="27" spans="1:9" x14ac:dyDescent="0.3">
      <c r="A27" s="40">
        <v>25</v>
      </c>
      <c r="B27" s="93" t="s">
        <v>419</v>
      </c>
      <c r="C27" s="200">
        <v>23.41</v>
      </c>
      <c r="D27" s="55">
        <f>ROUND((C27*'Salários.VA.VT.QteDias.LDI.T'!$G$48),2)</f>
        <v>2.41</v>
      </c>
      <c r="E27" s="55">
        <f>ROUND((((C27+D27)/(1-'Salários.VA.VT.QteDias.LDI.T'!$G$56))*'Salários.VA.VT.QteDias.LDI.T'!$G$56),2)</f>
        <v>2.44</v>
      </c>
      <c r="F27" s="55">
        <f t="shared" si="0"/>
        <v>28.26</v>
      </c>
      <c r="G27" s="3">
        <v>10</v>
      </c>
      <c r="H27" s="55">
        <f t="shared" si="1"/>
        <v>282.60000000000002</v>
      </c>
      <c r="I27" s="21"/>
    </row>
    <row r="28" spans="1:9" x14ac:dyDescent="0.3">
      <c r="A28" s="40">
        <v>26</v>
      </c>
      <c r="B28" s="93" t="s">
        <v>420</v>
      </c>
      <c r="C28" s="200">
        <v>22.35</v>
      </c>
      <c r="D28" s="55">
        <f>ROUND((C28*'Salários.VA.VT.QteDias.LDI.T'!$G$48),2)</f>
        <v>2.2999999999999998</v>
      </c>
      <c r="E28" s="55">
        <f>ROUND((((C28+D28)/(1-'Salários.VA.VT.QteDias.LDI.T'!$G$56))*'Salários.VA.VT.QteDias.LDI.T'!$G$56),2)</f>
        <v>2.33</v>
      </c>
      <c r="F28" s="55">
        <f t="shared" si="0"/>
        <v>26.98</v>
      </c>
      <c r="G28" s="3">
        <v>10</v>
      </c>
      <c r="H28" s="55">
        <f t="shared" si="1"/>
        <v>269.8</v>
      </c>
      <c r="I28" s="21"/>
    </row>
    <row r="29" spans="1:9" x14ac:dyDescent="0.3">
      <c r="A29" s="40"/>
      <c r="B29" s="60"/>
      <c r="C29" s="40"/>
      <c r="D29" s="40"/>
      <c r="E29" s="40"/>
      <c r="F29" s="40"/>
      <c r="G29" s="40"/>
      <c r="H29" s="40"/>
      <c r="I29" s="21"/>
    </row>
    <row r="30" spans="1:9" x14ac:dyDescent="0.3">
      <c r="A30" s="40"/>
      <c r="B30" s="60"/>
      <c r="C30" s="55"/>
      <c r="D30" s="55"/>
      <c r="E30" s="55"/>
      <c r="F30" s="55"/>
      <c r="G30" s="40"/>
      <c r="H30" s="199">
        <f>ROUND(SUM(H3:H25),2)</f>
        <v>7038.1</v>
      </c>
      <c r="I30" s="21"/>
    </row>
    <row r="31" spans="1:9" x14ac:dyDescent="0.3">
      <c r="A31" s="51"/>
      <c r="B31" s="51"/>
      <c r="C31" s="51"/>
      <c r="D31" s="51"/>
      <c r="E31" s="51"/>
      <c r="F31" s="51"/>
      <c r="G31" s="51"/>
      <c r="H31" s="51"/>
      <c r="I31" s="21"/>
    </row>
    <row r="32" spans="1:9" x14ac:dyDescent="0.3">
      <c r="A32" s="51"/>
      <c r="B32" s="51"/>
      <c r="C32" s="51"/>
      <c r="D32" s="51"/>
      <c r="E32" s="51"/>
      <c r="F32" s="51"/>
      <c r="G32" s="51"/>
      <c r="H32" s="51"/>
      <c r="I32" s="21"/>
    </row>
    <row r="33" spans="1:9" ht="16.5" customHeight="1" x14ac:dyDescent="0.3">
      <c r="A33" s="51"/>
      <c r="B33" s="224" t="s">
        <v>421</v>
      </c>
      <c r="C33" s="224"/>
      <c r="D33" s="224"/>
      <c r="E33" s="224"/>
      <c r="F33" s="224"/>
      <c r="G33" s="224"/>
      <c r="H33" s="49">
        <f>ROUND((H30/12),2)</f>
        <v>586.51</v>
      </c>
      <c r="I33" s="21"/>
    </row>
    <row r="34" spans="1:9" x14ac:dyDescent="0.3">
      <c r="A34" s="51"/>
      <c r="B34" s="51"/>
      <c r="C34" s="51"/>
      <c r="D34" s="51"/>
      <c r="E34" s="51"/>
      <c r="F34" s="51"/>
      <c r="G34" s="51"/>
      <c r="H34" s="51"/>
      <c r="I34" s="21"/>
    </row>
    <row r="35" spans="1:9" x14ac:dyDescent="0.3">
      <c r="A35" s="51"/>
      <c r="B35" s="51"/>
      <c r="C35" s="51"/>
      <c r="D35" s="51"/>
      <c r="E35" s="51"/>
      <c r="F35" s="51"/>
      <c r="G35" s="51"/>
      <c r="H35" s="51"/>
      <c r="I35" s="21"/>
    </row>
    <row r="36" spans="1:9" x14ac:dyDescent="0.3">
      <c r="A36" s="51"/>
      <c r="B36" s="51"/>
      <c r="C36" s="51"/>
      <c r="D36" s="51"/>
      <c r="E36" s="51"/>
      <c r="F36" s="51"/>
      <c r="G36" s="51"/>
      <c r="H36" s="51"/>
      <c r="I36" s="21"/>
    </row>
    <row r="37" spans="1:9" x14ac:dyDescent="0.3">
      <c r="A37" s="32"/>
      <c r="B37" s="32"/>
      <c r="C37" s="32"/>
      <c r="D37" s="32"/>
      <c r="E37" s="32"/>
      <c r="F37" s="32"/>
      <c r="G37" s="32"/>
      <c r="H37" s="32"/>
    </row>
  </sheetData>
  <sheetProtection sheet="1" objects="1" scenarios="1"/>
  <protectedRanges>
    <protectedRange sqref="C3:C28" name="Intervalo1"/>
  </protectedRanges>
  <mergeCells count="2">
    <mergeCell ref="A1:H1"/>
    <mergeCell ref="B33:G33"/>
  </mergeCells>
  <pageMargins left="0.51180555555555596" right="0.51180555555555596" top="0.78749999999999998" bottom="0.78749999999999998" header="0.511811023622047" footer="0.511811023622047"/>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24"/>
  <sheetViews>
    <sheetView zoomScale="120" zoomScaleNormal="120" workbookViewId="0">
      <selection activeCell="C3" sqref="C3"/>
    </sheetView>
  </sheetViews>
  <sheetFormatPr defaultColWidth="8.6640625" defaultRowHeight="14.4" x14ac:dyDescent="0.3"/>
  <cols>
    <col min="2" max="2" width="36.6640625" customWidth="1"/>
    <col min="3" max="6" width="15.33203125" customWidth="1"/>
    <col min="7" max="7" width="14.33203125" customWidth="1"/>
    <col min="8" max="9" width="13.88671875" customWidth="1"/>
  </cols>
  <sheetData>
    <row r="1" spans="1:8" x14ac:dyDescent="0.3">
      <c r="A1" s="249" t="s">
        <v>422</v>
      </c>
      <c r="B1" s="249"/>
      <c r="C1" s="249"/>
      <c r="D1" s="249"/>
      <c r="E1" s="249"/>
      <c r="F1" s="249"/>
      <c r="G1" s="249"/>
      <c r="H1" s="249"/>
    </row>
    <row r="2" spans="1:8" ht="20.399999999999999" x14ac:dyDescent="0.3">
      <c r="A2" s="52" t="s">
        <v>1</v>
      </c>
      <c r="B2" s="52" t="s">
        <v>127</v>
      </c>
      <c r="C2" s="1" t="s">
        <v>101</v>
      </c>
      <c r="D2" s="1" t="s">
        <v>102</v>
      </c>
      <c r="E2" s="1" t="s">
        <v>103</v>
      </c>
      <c r="F2" s="1" t="s">
        <v>104</v>
      </c>
      <c r="G2" s="1" t="s">
        <v>100</v>
      </c>
      <c r="H2" s="1" t="s">
        <v>112</v>
      </c>
    </row>
    <row r="3" spans="1:8" ht="19.5" customHeight="1" x14ac:dyDescent="0.3">
      <c r="A3" s="40">
        <v>1</v>
      </c>
      <c r="B3" s="94" t="s">
        <v>423</v>
      </c>
      <c r="C3" s="196">
        <v>125</v>
      </c>
      <c r="D3" s="55">
        <f>ROUND((C3*'Salários.VA.VT.QteDias.LDI.T'!$G$48),2)</f>
        <v>12.88</v>
      </c>
      <c r="E3" s="55">
        <f>ROUND((((C3+D3)/(1-'Salários.VA.VT.QteDias.LDI.T'!$G$56))*'Salários.VA.VT.QteDias.LDI.T'!$G$56),2)</f>
        <v>13.06</v>
      </c>
      <c r="F3" s="55">
        <f t="shared" ref="F3:F14" si="0">ROUND(SUM(C3:E3),2)</f>
        <v>150.94</v>
      </c>
      <c r="G3" s="3">
        <v>1</v>
      </c>
      <c r="H3" s="55">
        <f t="shared" ref="H3:H14" si="1">ROUND((F3*G3),2)</f>
        <v>150.94</v>
      </c>
    </row>
    <row r="4" spans="1:8" ht="19.5" customHeight="1" x14ac:dyDescent="0.3">
      <c r="A4" s="40">
        <v>2</v>
      </c>
      <c r="B4" s="94" t="s">
        <v>424</v>
      </c>
      <c r="C4" s="196">
        <v>159.22999999999999</v>
      </c>
      <c r="D4" s="55">
        <f>ROUND((C4*'Salários.VA.VT.QteDias.LDI.T'!$G$48),2)</f>
        <v>16.399999999999999</v>
      </c>
      <c r="E4" s="55">
        <f>ROUND((((C4+D4)/(1-'Salários.VA.VT.QteDias.LDI.T'!$G$56))*'Salários.VA.VT.QteDias.LDI.T'!$G$56),2)</f>
        <v>16.63</v>
      </c>
      <c r="F4" s="55">
        <f t="shared" si="0"/>
        <v>192.26</v>
      </c>
      <c r="G4" s="3">
        <v>1</v>
      </c>
      <c r="H4" s="55">
        <f t="shared" si="1"/>
        <v>192.26</v>
      </c>
    </row>
    <row r="5" spans="1:8" ht="19.5" customHeight="1" x14ac:dyDescent="0.3">
      <c r="A5" s="40">
        <v>3</v>
      </c>
      <c r="B5" s="94" t="s">
        <v>425</v>
      </c>
      <c r="C5" s="196">
        <v>179.12</v>
      </c>
      <c r="D5" s="55">
        <f>ROUND((C5*'Salários.VA.VT.QteDias.LDI.T'!$G$48),2)</f>
        <v>18.45</v>
      </c>
      <c r="E5" s="55">
        <f>ROUND((((C5+D5)/(1-'Salários.VA.VT.QteDias.LDI.T'!$G$56))*'Salários.VA.VT.QteDias.LDI.T'!$G$56),2)</f>
        <v>18.71</v>
      </c>
      <c r="F5" s="55">
        <f t="shared" si="0"/>
        <v>216.28</v>
      </c>
      <c r="G5" s="3">
        <v>1</v>
      </c>
      <c r="H5" s="55">
        <f t="shared" si="1"/>
        <v>216.28</v>
      </c>
    </row>
    <row r="6" spans="1:8" ht="19.5" customHeight="1" x14ac:dyDescent="0.3">
      <c r="A6" s="40">
        <v>4</v>
      </c>
      <c r="B6" s="94" t="s">
        <v>426</v>
      </c>
      <c r="C6" s="196">
        <v>26.65</v>
      </c>
      <c r="D6" s="55">
        <f>ROUND((C6*'Salários.VA.VT.QteDias.LDI.T'!$G$48),2)</f>
        <v>2.74</v>
      </c>
      <c r="E6" s="55">
        <f>ROUND((((C6+D6)/(1-'Salários.VA.VT.QteDias.LDI.T'!$G$56))*'Salários.VA.VT.QteDias.LDI.T'!$G$56),2)</f>
        <v>2.78</v>
      </c>
      <c r="F6" s="55">
        <f t="shared" si="0"/>
        <v>32.17</v>
      </c>
      <c r="G6" s="3">
        <v>1</v>
      </c>
      <c r="H6" s="55">
        <f t="shared" si="1"/>
        <v>32.17</v>
      </c>
    </row>
    <row r="7" spans="1:8" ht="19.5" customHeight="1" x14ac:dyDescent="0.3">
      <c r="A7" s="40">
        <v>5</v>
      </c>
      <c r="B7" s="95" t="s">
        <v>427</v>
      </c>
      <c r="C7" s="196">
        <v>13.45</v>
      </c>
      <c r="D7" s="55">
        <f>ROUND((C7*'Salários.VA.VT.QteDias.LDI.T'!$G$48),2)</f>
        <v>1.39</v>
      </c>
      <c r="E7" s="55">
        <f>ROUND((((C7+D7)/(1-'Salários.VA.VT.QteDias.LDI.T'!$G$56))*'Salários.VA.VT.QteDias.LDI.T'!$G$56),2)</f>
        <v>1.41</v>
      </c>
      <c r="F7" s="55">
        <f t="shared" si="0"/>
        <v>16.25</v>
      </c>
      <c r="G7" s="3">
        <v>1</v>
      </c>
      <c r="H7" s="55">
        <f t="shared" si="1"/>
        <v>16.25</v>
      </c>
    </row>
    <row r="8" spans="1:8" ht="19.5" customHeight="1" x14ac:dyDescent="0.3">
      <c r="A8" s="40">
        <v>6</v>
      </c>
      <c r="B8" s="94" t="s">
        <v>428</v>
      </c>
      <c r="C8" s="196">
        <v>20.170000000000002</v>
      </c>
      <c r="D8" s="55">
        <f>ROUND((C8*'Salários.VA.VT.QteDias.LDI.T'!$G$48),2)</f>
        <v>2.08</v>
      </c>
      <c r="E8" s="55">
        <f>ROUND((((C8+D8)/(1-'Salários.VA.VT.QteDias.LDI.T'!$G$56))*'Salários.VA.VT.QteDias.LDI.T'!$G$56),2)</f>
        <v>2.11</v>
      </c>
      <c r="F8" s="55">
        <f t="shared" si="0"/>
        <v>24.36</v>
      </c>
      <c r="G8" s="3">
        <v>1</v>
      </c>
      <c r="H8" s="55">
        <f t="shared" si="1"/>
        <v>24.36</v>
      </c>
    </row>
    <row r="9" spans="1:8" ht="19.5" customHeight="1" x14ac:dyDescent="0.3">
      <c r="A9" s="40">
        <v>7</v>
      </c>
      <c r="B9" s="94" t="s">
        <v>429</v>
      </c>
      <c r="C9" s="196">
        <v>32.799999999999997</v>
      </c>
      <c r="D9" s="55">
        <f>ROUND((C9*'Salários.VA.VT.QteDias.LDI.T'!$G$48),2)</f>
        <v>3.38</v>
      </c>
      <c r="E9" s="55">
        <f>ROUND((((C9+D9)/(1-'Salários.VA.VT.QteDias.LDI.T'!$G$56))*'Salários.VA.VT.QteDias.LDI.T'!$G$56),2)</f>
        <v>3.43</v>
      </c>
      <c r="F9" s="55">
        <f t="shared" si="0"/>
        <v>39.61</v>
      </c>
      <c r="G9" s="3">
        <v>1</v>
      </c>
      <c r="H9" s="55">
        <f t="shared" si="1"/>
        <v>39.61</v>
      </c>
    </row>
    <row r="10" spans="1:8" ht="19.5" customHeight="1" x14ac:dyDescent="0.3">
      <c r="A10" s="40">
        <v>8</v>
      </c>
      <c r="B10" s="94" t="s">
        <v>430</v>
      </c>
      <c r="C10" s="196">
        <v>28.85</v>
      </c>
      <c r="D10" s="55">
        <f>ROUND((C10*'Salários.VA.VT.QteDias.LDI.T'!$G$48),2)</f>
        <v>2.97</v>
      </c>
      <c r="E10" s="55">
        <f>ROUND((((C10+D10)/(1-'Salários.VA.VT.QteDias.LDI.T'!$G$56))*'Salários.VA.VT.QteDias.LDI.T'!$G$56),2)</f>
        <v>3.01</v>
      </c>
      <c r="F10" s="55">
        <f t="shared" si="0"/>
        <v>34.83</v>
      </c>
      <c r="G10" s="3">
        <v>1</v>
      </c>
      <c r="H10" s="55">
        <f t="shared" si="1"/>
        <v>34.83</v>
      </c>
    </row>
    <row r="11" spans="1:8" ht="19.5" customHeight="1" x14ac:dyDescent="0.3">
      <c r="A11" s="40">
        <v>9</v>
      </c>
      <c r="B11" s="94" t="s">
        <v>431</v>
      </c>
      <c r="C11" s="196">
        <v>60.05</v>
      </c>
      <c r="D11" s="55">
        <f>ROUND((C11*'Salários.VA.VT.QteDias.LDI.T'!$G$48),2)</f>
        <v>6.19</v>
      </c>
      <c r="E11" s="55">
        <f>ROUND((((C11+D11)/(1-'Salários.VA.VT.QteDias.LDI.T'!$G$56))*'Salários.VA.VT.QteDias.LDI.T'!$G$56),2)</f>
        <v>6.27</v>
      </c>
      <c r="F11" s="55">
        <f t="shared" si="0"/>
        <v>72.510000000000005</v>
      </c>
      <c r="G11" s="3">
        <v>1</v>
      </c>
      <c r="H11" s="55">
        <f t="shared" si="1"/>
        <v>72.510000000000005</v>
      </c>
    </row>
    <row r="12" spans="1:8" ht="19.5" customHeight="1" x14ac:dyDescent="0.3">
      <c r="A12" s="40">
        <v>10</v>
      </c>
      <c r="B12" s="94" t="s">
        <v>432</v>
      </c>
      <c r="C12" s="196">
        <v>101.75</v>
      </c>
      <c r="D12" s="55">
        <f>ROUND((C12*'Salários.VA.VT.QteDias.LDI.T'!$G$48),2)</f>
        <v>10.48</v>
      </c>
      <c r="E12" s="55">
        <f>ROUND((((C12+D12)/(1-'Salários.VA.VT.QteDias.LDI.T'!$G$56))*'Salários.VA.VT.QteDias.LDI.T'!$G$56),2)</f>
        <v>10.63</v>
      </c>
      <c r="F12" s="55">
        <f t="shared" si="0"/>
        <v>122.86</v>
      </c>
      <c r="G12" s="3">
        <v>1</v>
      </c>
      <c r="H12" s="55">
        <f t="shared" si="1"/>
        <v>122.86</v>
      </c>
    </row>
    <row r="13" spans="1:8" ht="19.5" customHeight="1" x14ac:dyDescent="0.3">
      <c r="A13" s="40">
        <v>11</v>
      </c>
      <c r="B13" s="94" t="s">
        <v>433</v>
      </c>
      <c r="C13" s="196">
        <v>35.22</v>
      </c>
      <c r="D13" s="55">
        <f>ROUND((C13*'Salários.VA.VT.QteDias.LDI.T'!$G$48),2)</f>
        <v>3.63</v>
      </c>
      <c r="E13" s="55">
        <f>ROUND((((C13+D13)/(1-'Salários.VA.VT.QteDias.LDI.T'!$G$56))*'Salários.VA.VT.QteDias.LDI.T'!$G$56),2)</f>
        <v>3.68</v>
      </c>
      <c r="F13" s="55">
        <f t="shared" si="0"/>
        <v>42.53</v>
      </c>
      <c r="G13" s="3">
        <v>1</v>
      </c>
      <c r="H13" s="55">
        <f t="shared" si="1"/>
        <v>42.53</v>
      </c>
    </row>
    <row r="14" spans="1:8" ht="19.5" customHeight="1" x14ac:dyDescent="0.3">
      <c r="A14" s="40">
        <v>12</v>
      </c>
      <c r="B14" s="94" t="s">
        <v>434</v>
      </c>
      <c r="C14" s="196">
        <v>119.36</v>
      </c>
      <c r="D14" s="55">
        <f>ROUND((C14*'Salários.VA.VT.QteDias.LDI.T'!$G$48),2)</f>
        <v>12.29</v>
      </c>
      <c r="E14" s="55">
        <f>ROUND((((C14+D14)/(1-'Salários.VA.VT.QteDias.LDI.T'!$G$56))*'Salários.VA.VT.QteDias.LDI.T'!$G$56),2)</f>
        <v>12.47</v>
      </c>
      <c r="F14" s="55">
        <f t="shared" si="0"/>
        <v>144.12</v>
      </c>
      <c r="G14" s="3">
        <v>1</v>
      </c>
      <c r="H14" s="55">
        <f t="shared" si="1"/>
        <v>144.12</v>
      </c>
    </row>
    <row r="15" spans="1:8" ht="19.5" customHeight="1" x14ac:dyDescent="0.3">
      <c r="A15" s="62"/>
      <c r="B15" s="60"/>
      <c r="C15" s="40"/>
      <c r="D15" s="40"/>
      <c r="E15" s="40"/>
      <c r="F15" s="40"/>
      <c r="G15" s="40"/>
      <c r="H15" s="40"/>
    </row>
    <row r="16" spans="1:8" ht="19.5" customHeight="1" x14ac:dyDescent="0.3">
      <c r="A16" s="62"/>
      <c r="B16" s="60"/>
      <c r="C16" s="40"/>
      <c r="D16" s="40"/>
      <c r="E16" s="40"/>
      <c r="F16" s="40"/>
      <c r="G16" s="40"/>
      <c r="H16" s="40"/>
    </row>
    <row r="17" spans="1:8" ht="19.5" customHeight="1" x14ac:dyDescent="0.3">
      <c r="A17" s="62"/>
      <c r="B17" s="60"/>
      <c r="C17" s="55">
        <f>ROUND(SUM(C3:C14),2)</f>
        <v>901.65</v>
      </c>
      <c r="D17" s="55"/>
      <c r="E17" s="55"/>
      <c r="F17" s="55"/>
      <c r="G17" s="40"/>
      <c r="H17" s="199">
        <f>ROUND(SUM(H3:H14),2)</f>
        <v>1088.72</v>
      </c>
    </row>
    <row r="18" spans="1:8" ht="19.5" customHeight="1" x14ac:dyDescent="0.3">
      <c r="A18" s="51"/>
      <c r="B18" s="51"/>
      <c r="C18" s="51"/>
      <c r="D18" s="51"/>
      <c r="E18" s="51"/>
      <c r="F18" s="51"/>
      <c r="G18" s="51"/>
      <c r="H18" s="51"/>
    </row>
    <row r="19" spans="1:8" ht="19.5" customHeight="1" x14ac:dyDescent="0.3">
      <c r="A19" s="51"/>
      <c r="B19" s="224" t="s">
        <v>421</v>
      </c>
      <c r="C19" s="224"/>
      <c r="D19" s="224"/>
      <c r="E19" s="224"/>
      <c r="F19" s="224"/>
      <c r="G19" s="224"/>
      <c r="H19" s="49">
        <f>ROUND((H17/12),2)</f>
        <v>90.73</v>
      </c>
    </row>
    <row r="20" spans="1:8" ht="19.5" customHeight="1" x14ac:dyDescent="0.3">
      <c r="A20" s="63"/>
      <c r="B20" s="63"/>
      <c r="C20" s="63"/>
      <c r="D20" s="63"/>
      <c r="E20" s="63"/>
      <c r="F20" s="63"/>
      <c r="G20" s="63"/>
      <c r="H20" s="63"/>
    </row>
    <row r="21" spans="1:8" ht="19.5" customHeight="1" x14ac:dyDescent="0.3">
      <c r="A21" s="63"/>
      <c r="B21" s="63"/>
      <c r="C21" s="63"/>
      <c r="D21" s="63"/>
      <c r="E21" s="63"/>
      <c r="F21" s="63"/>
      <c r="G21" s="63"/>
      <c r="H21" s="63"/>
    </row>
    <row r="22" spans="1:8" ht="19.5" customHeight="1" x14ac:dyDescent="0.3">
      <c r="A22" s="63"/>
      <c r="B22" s="63"/>
      <c r="C22" s="63"/>
      <c r="D22" s="63"/>
      <c r="E22" s="63"/>
      <c r="F22" s="63"/>
      <c r="G22" s="63"/>
      <c r="H22" s="63"/>
    </row>
    <row r="23" spans="1:8" ht="19.5" customHeight="1" x14ac:dyDescent="0.3"/>
    <row r="24" spans="1:8" ht="19.5" customHeight="1" x14ac:dyDescent="0.3"/>
  </sheetData>
  <sheetProtection sheet="1" objects="1" scenarios="1"/>
  <protectedRanges>
    <protectedRange sqref="C3:C14" name="Intervalo1"/>
  </protectedRanges>
  <mergeCells count="2">
    <mergeCell ref="A1:H1"/>
    <mergeCell ref="B19:G19"/>
  </mergeCells>
  <pageMargins left="0.51180555555555596" right="0.51180555555555596" top="0.78749999999999998" bottom="0.78749999999999998" header="0.511811023622047" footer="0.511811023622047"/>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4"/>
  <sheetViews>
    <sheetView zoomScale="110" zoomScaleNormal="110" workbookViewId="0">
      <selection activeCell="C7" sqref="C7"/>
    </sheetView>
  </sheetViews>
  <sheetFormatPr defaultColWidth="8.6640625" defaultRowHeight="14.4" x14ac:dyDescent="0.3"/>
  <cols>
    <col min="2" max="2" width="64.6640625" customWidth="1"/>
    <col min="3" max="3" width="17.33203125" customWidth="1"/>
    <col min="4" max="4" width="16.44140625" customWidth="1"/>
    <col min="5" max="5" width="13.6640625" customWidth="1"/>
  </cols>
  <sheetData>
    <row r="1" spans="1:5" x14ac:dyDescent="0.3">
      <c r="A1" s="249" t="s">
        <v>435</v>
      </c>
      <c r="B1" s="249"/>
      <c r="C1" s="249"/>
      <c r="D1" s="249"/>
      <c r="E1" s="249"/>
    </row>
    <row r="2" spans="1:5" x14ac:dyDescent="0.3">
      <c r="A2" s="52" t="s">
        <v>1</v>
      </c>
      <c r="B2" s="52" t="s">
        <v>127</v>
      </c>
      <c r="C2" s="64" t="s">
        <v>128</v>
      </c>
      <c r="D2" s="1" t="s">
        <v>100</v>
      </c>
      <c r="E2" s="1" t="s">
        <v>112</v>
      </c>
    </row>
    <row r="3" spans="1:5" x14ac:dyDescent="0.3">
      <c r="A3" s="40">
        <v>1</v>
      </c>
      <c r="B3" s="94" t="s">
        <v>436</v>
      </c>
      <c r="C3" s="197">
        <v>11.45</v>
      </c>
      <c r="D3" s="3">
        <v>4</v>
      </c>
      <c r="E3" s="55">
        <f t="shared" ref="E3:E14" si="0">TRUNC((C3*D3),2)</f>
        <v>45.8</v>
      </c>
    </row>
    <row r="4" spans="1:5" x14ac:dyDescent="0.3">
      <c r="A4" s="40">
        <v>2</v>
      </c>
      <c r="B4" s="94" t="s">
        <v>437</v>
      </c>
      <c r="C4" s="197">
        <v>24.57</v>
      </c>
      <c r="D4" s="3">
        <v>12</v>
      </c>
      <c r="E4" s="55">
        <f t="shared" si="0"/>
        <v>294.83999999999997</v>
      </c>
    </row>
    <row r="5" spans="1:5" x14ac:dyDescent="0.3">
      <c r="A5" s="40">
        <v>3</v>
      </c>
      <c r="B5" s="94" t="s">
        <v>438</v>
      </c>
      <c r="C5" s="197">
        <v>25.22</v>
      </c>
      <c r="D5" s="3">
        <v>12</v>
      </c>
      <c r="E5" s="55">
        <f t="shared" si="0"/>
        <v>302.64</v>
      </c>
    </row>
    <row r="6" spans="1:5" x14ac:dyDescent="0.3">
      <c r="A6" s="40">
        <v>4</v>
      </c>
      <c r="B6" s="94" t="s">
        <v>439</v>
      </c>
      <c r="C6" s="197">
        <v>27.87</v>
      </c>
      <c r="D6" s="3">
        <v>4</v>
      </c>
      <c r="E6" s="55">
        <f t="shared" si="0"/>
        <v>111.48</v>
      </c>
    </row>
    <row r="7" spans="1:5" ht="19.5" customHeight="1" x14ac:dyDescent="0.3">
      <c r="A7" s="40">
        <v>5</v>
      </c>
      <c r="B7" s="94" t="s">
        <v>440</v>
      </c>
      <c r="C7" s="197">
        <v>39.39</v>
      </c>
      <c r="D7" s="3">
        <v>4</v>
      </c>
      <c r="E7" s="55">
        <f t="shared" si="0"/>
        <v>157.56</v>
      </c>
    </row>
    <row r="8" spans="1:5" ht="17.25" customHeight="1" x14ac:dyDescent="0.3">
      <c r="A8" s="40">
        <v>6</v>
      </c>
      <c r="B8" s="94" t="s">
        <v>441</v>
      </c>
      <c r="C8" s="197">
        <v>38.1</v>
      </c>
      <c r="D8" s="3">
        <v>2</v>
      </c>
      <c r="E8" s="55">
        <f t="shared" si="0"/>
        <v>76.2</v>
      </c>
    </row>
    <row r="9" spans="1:5" x14ac:dyDescent="0.3">
      <c r="A9" s="40">
        <v>7</v>
      </c>
      <c r="B9" s="94" t="s">
        <v>442</v>
      </c>
      <c r="C9" s="197">
        <v>235.7</v>
      </c>
      <c r="D9" s="3">
        <v>2</v>
      </c>
      <c r="E9" s="55">
        <f t="shared" si="0"/>
        <v>471.4</v>
      </c>
    </row>
    <row r="10" spans="1:5" ht="14.25" customHeight="1" x14ac:dyDescent="0.3">
      <c r="A10" s="40">
        <v>8</v>
      </c>
      <c r="B10" s="94" t="s">
        <v>443</v>
      </c>
      <c r="C10" s="197">
        <v>30.33</v>
      </c>
      <c r="D10" s="3">
        <v>2</v>
      </c>
      <c r="E10" s="55">
        <f t="shared" si="0"/>
        <v>60.66</v>
      </c>
    </row>
    <row r="11" spans="1:5" x14ac:dyDescent="0.3">
      <c r="A11" s="40">
        <v>9</v>
      </c>
      <c r="B11" s="94" t="s">
        <v>444</v>
      </c>
      <c r="C11" s="197">
        <v>115.58</v>
      </c>
      <c r="D11" s="3">
        <v>2</v>
      </c>
      <c r="E11" s="55">
        <f t="shared" si="0"/>
        <v>231.16</v>
      </c>
    </row>
    <row r="12" spans="1:5" x14ac:dyDescent="0.3">
      <c r="A12" s="40">
        <v>10</v>
      </c>
      <c r="B12" s="94" t="s">
        <v>445</v>
      </c>
      <c r="C12" s="197">
        <v>27.2</v>
      </c>
      <c r="D12" s="3">
        <v>2</v>
      </c>
      <c r="E12" s="55">
        <f t="shared" si="0"/>
        <v>54.4</v>
      </c>
    </row>
    <row r="13" spans="1:5" x14ac:dyDescent="0.3">
      <c r="A13" s="40">
        <v>11</v>
      </c>
      <c r="B13" s="94" t="s">
        <v>446</v>
      </c>
      <c r="C13" s="197">
        <v>61.61</v>
      </c>
      <c r="D13" s="3">
        <v>2</v>
      </c>
      <c r="E13" s="55">
        <f t="shared" si="0"/>
        <v>123.22</v>
      </c>
    </row>
    <row r="14" spans="1:5" ht="15" customHeight="1" x14ac:dyDescent="0.3">
      <c r="A14" s="40">
        <v>12</v>
      </c>
      <c r="B14" s="94" t="s">
        <v>447</v>
      </c>
      <c r="C14" s="197">
        <v>6.68</v>
      </c>
      <c r="D14" s="3">
        <v>24</v>
      </c>
      <c r="E14" s="55">
        <f t="shared" si="0"/>
        <v>160.32</v>
      </c>
    </row>
    <row r="15" spans="1:5" x14ac:dyDescent="0.3">
      <c r="A15" s="62"/>
      <c r="B15" s="60"/>
      <c r="C15" s="40"/>
      <c r="D15" s="40"/>
      <c r="E15" s="40"/>
    </row>
    <row r="16" spans="1:5" x14ac:dyDescent="0.3">
      <c r="A16" s="62"/>
      <c r="B16" s="60"/>
      <c r="C16" s="40"/>
      <c r="D16" s="40"/>
      <c r="E16" s="40"/>
    </row>
    <row r="17" spans="1:5" x14ac:dyDescent="0.3">
      <c r="A17" s="62"/>
      <c r="B17" s="60"/>
      <c r="C17" s="55">
        <f>TRUNC(SUM(C3:C14),2)</f>
        <v>643.70000000000005</v>
      </c>
      <c r="D17" s="40"/>
      <c r="E17" s="55">
        <f>TRUNC(SUM(E3:E14),2)</f>
        <v>2089.6799999999998</v>
      </c>
    </row>
    <row r="18" spans="1:5" x14ac:dyDescent="0.3">
      <c r="A18" s="51"/>
      <c r="B18" s="51"/>
      <c r="C18" s="51"/>
      <c r="D18" s="51"/>
      <c r="E18" s="51"/>
    </row>
    <row r="19" spans="1:5" x14ac:dyDescent="0.3">
      <c r="A19" s="51"/>
      <c r="B19" s="51"/>
      <c r="C19" s="51"/>
      <c r="D19" s="51"/>
      <c r="E19" s="51"/>
    </row>
    <row r="20" spans="1:5" x14ac:dyDescent="0.3">
      <c r="A20" s="51"/>
      <c r="B20" s="96"/>
      <c r="C20" s="263" t="s">
        <v>448</v>
      </c>
      <c r="D20" s="263"/>
      <c r="E20" s="81">
        <f>TRUNC((E17/12),2)</f>
        <v>174.14</v>
      </c>
    </row>
    <row r="21" spans="1:5" x14ac:dyDescent="0.3">
      <c r="A21" s="51"/>
      <c r="B21" s="51"/>
      <c r="C21" s="263" t="s">
        <v>449</v>
      </c>
      <c r="D21" s="263"/>
      <c r="E21" s="81">
        <f>TRUNC((E20/2),2)</f>
        <v>87.07</v>
      </c>
    </row>
    <row r="22" spans="1:5" x14ac:dyDescent="0.3">
      <c r="A22" s="32"/>
      <c r="B22" s="32"/>
      <c r="C22" s="32"/>
      <c r="D22" s="32"/>
      <c r="E22" s="32"/>
    </row>
    <row r="23" spans="1:5" x14ac:dyDescent="0.3">
      <c r="A23" s="32"/>
      <c r="B23" s="32"/>
      <c r="C23" s="32"/>
      <c r="D23" s="32"/>
      <c r="E23" s="32"/>
    </row>
    <row r="24" spans="1:5" x14ac:dyDescent="0.3">
      <c r="A24" s="32"/>
      <c r="B24" s="32"/>
      <c r="C24" s="32"/>
      <c r="D24" s="32"/>
      <c r="E24" s="32"/>
    </row>
  </sheetData>
  <sheetProtection sheet="1" objects="1" scenarios="1"/>
  <protectedRanges>
    <protectedRange sqref="C3:C14" name="Intervalo1"/>
  </protectedRanges>
  <mergeCells count="3">
    <mergeCell ref="A1:E1"/>
    <mergeCell ref="C20:D20"/>
    <mergeCell ref="C21:D21"/>
  </mergeCells>
  <pageMargins left="0.51180555555555596" right="0.51180555555555596" top="0.78749999999999998" bottom="0.78749999999999998" header="0.511811023622047" footer="0.511811023622047"/>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68"/>
  <sheetViews>
    <sheetView zoomScale="60" zoomScaleNormal="60" workbookViewId="0">
      <selection activeCell="E16" sqref="E16"/>
    </sheetView>
  </sheetViews>
  <sheetFormatPr defaultColWidth="8.6640625" defaultRowHeight="14.4" x14ac:dyDescent="0.3"/>
  <cols>
    <col min="2" max="2" width="53.6640625" customWidth="1"/>
    <col min="3" max="4" width="13.5546875" customWidth="1"/>
    <col min="5" max="5" width="18" customWidth="1"/>
    <col min="6" max="7" width="14.33203125" customWidth="1"/>
    <col min="8" max="8" width="17.5546875" customWidth="1"/>
    <col min="9" max="10" width="15.88671875" customWidth="1"/>
    <col min="11" max="11" width="16.109375" customWidth="1"/>
    <col min="12" max="12" width="17.109375" customWidth="1"/>
    <col min="13" max="13" width="19.33203125" customWidth="1"/>
    <col min="14" max="14" width="17.5546875" customWidth="1"/>
    <col min="15" max="15" width="18" customWidth="1"/>
    <col min="16" max="16" width="23.109375" customWidth="1"/>
  </cols>
  <sheetData>
    <row r="1" spans="1:16" ht="16.5" customHeight="1" x14ac:dyDescent="0.3">
      <c r="A1" s="264" t="s">
        <v>450</v>
      </c>
      <c r="B1" s="264"/>
      <c r="C1" s="264"/>
      <c r="D1" s="264"/>
      <c r="E1" s="264"/>
      <c r="F1" s="264"/>
      <c r="G1" s="264"/>
      <c r="H1" s="264"/>
      <c r="I1" s="264"/>
      <c r="J1" s="264"/>
      <c r="K1" s="264"/>
      <c r="L1" s="264"/>
      <c r="M1" s="264"/>
      <c r="N1" s="264"/>
      <c r="O1" s="264"/>
      <c r="P1" s="264"/>
    </row>
    <row r="2" spans="1:16" ht="16.5" customHeight="1" x14ac:dyDescent="0.3">
      <c r="A2" s="264" t="s">
        <v>451</v>
      </c>
      <c r="B2" s="264"/>
      <c r="C2" s="264"/>
      <c r="D2" s="264"/>
      <c r="E2" s="264"/>
      <c r="F2" s="264"/>
      <c r="G2" s="264"/>
      <c r="H2" s="264"/>
      <c r="I2" s="264"/>
      <c r="J2" s="264"/>
      <c r="K2" s="264"/>
      <c r="L2" s="264"/>
      <c r="M2" s="264"/>
      <c r="N2" s="264"/>
      <c r="O2" s="264"/>
      <c r="P2" s="264"/>
    </row>
    <row r="3" spans="1:16" ht="16.5" customHeight="1" x14ac:dyDescent="0.3">
      <c r="A3" s="222"/>
      <c r="B3" s="222"/>
      <c r="C3" s="222"/>
      <c r="D3" s="222"/>
      <c r="E3" s="222"/>
      <c r="F3" s="222"/>
      <c r="G3" s="222"/>
      <c r="H3" s="222"/>
      <c r="I3" s="222"/>
      <c r="J3" s="222"/>
      <c r="K3" s="222"/>
      <c r="L3" s="222"/>
      <c r="M3" s="222"/>
      <c r="N3" s="222"/>
      <c r="O3" s="222"/>
      <c r="P3" s="222"/>
    </row>
    <row r="4" spans="1:16" ht="16.5" customHeight="1" x14ac:dyDescent="0.3">
      <c r="A4" s="265" t="s">
        <v>452</v>
      </c>
      <c r="B4" s="265"/>
      <c r="C4" s="265"/>
      <c r="D4" s="265"/>
      <c r="E4" s="265"/>
      <c r="F4" s="265"/>
      <c r="G4" s="265"/>
      <c r="H4" s="265"/>
      <c r="I4" s="265"/>
      <c r="J4" s="265"/>
      <c r="K4" s="265"/>
      <c r="L4" s="265"/>
      <c r="M4" s="265"/>
      <c r="N4" s="265"/>
      <c r="O4" s="265"/>
      <c r="P4" s="265"/>
    </row>
    <row r="5" spans="1:16" ht="66.75" customHeight="1" x14ac:dyDescent="0.3">
      <c r="A5" s="1" t="s">
        <v>1</v>
      </c>
      <c r="B5" s="1" t="s">
        <v>453</v>
      </c>
      <c r="C5" s="1" t="s">
        <v>110</v>
      </c>
      <c r="D5" s="1" t="s">
        <v>454</v>
      </c>
      <c r="E5" s="1" t="s">
        <v>455</v>
      </c>
      <c r="F5" s="1" t="s">
        <v>102</v>
      </c>
      <c r="G5" s="1" t="s">
        <v>103</v>
      </c>
      <c r="H5" s="1" t="s">
        <v>104</v>
      </c>
      <c r="I5" s="1" t="s">
        <v>456</v>
      </c>
      <c r="J5" s="1" t="s">
        <v>457</v>
      </c>
      <c r="K5" s="1" t="s">
        <v>458</v>
      </c>
      <c r="L5" s="1" t="s">
        <v>459</v>
      </c>
      <c r="M5" s="1" t="s">
        <v>460</v>
      </c>
      <c r="N5" s="1" t="s">
        <v>461</v>
      </c>
      <c r="O5" s="1" t="s">
        <v>462</v>
      </c>
      <c r="P5" s="1" t="s">
        <v>463</v>
      </c>
    </row>
    <row r="6" spans="1:16" ht="24.75" customHeight="1" x14ac:dyDescent="0.3">
      <c r="A6" s="1">
        <v>1</v>
      </c>
      <c r="B6" s="97" t="s">
        <v>464</v>
      </c>
      <c r="C6" s="42" t="s">
        <v>465</v>
      </c>
      <c r="D6" s="42">
        <v>1</v>
      </c>
      <c r="E6" s="201">
        <v>709.01</v>
      </c>
      <c r="F6" s="98">
        <f>TRUNC((E6*'Salários.VA.VT.QteDias.LDI.T'!$G$48),2)</f>
        <v>73.02</v>
      </c>
      <c r="G6" s="98">
        <f>TRUNC((((E6+F6)/(1-'Salários.VA.VT.QteDias.LDI.T'!$G$56))*'Salários.VA.VT.QteDias.LDI.T'!$G$56),2)</f>
        <v>74.05</v>
      </c>
      <c r="H6" s="98">
        <f>TRUNC(SUM(E6:G6),2)</f>
        <v>856.08</v>
      </c>
      <c r="I6" s="43">
        <f>TRUNC((D6*H6),2)</f>
        <v>856.08</v>
      </c>
      <c r="J6" s="42">
        <v>1</v>
      </c>
      <c r="K6" s="99">
        <v>120</v>
      </c>
      <c r="L6" s="100">
        <v>0.1</v>
      </c>
      <c r="M6" s="101">
        <v>0.1</v>
      </c>
      <c r="N6" s="98">
        <f>TRUNC((I6*10%),2)</f>
        <v>85.6</v>
      </c>
      <c r="O6" s="98">
        <f>TRUNC(($I$6-$N$6),2)</f>
        <v>770.48</v>
      </c>
      <c r="P6" s="98">
        <f>TRUNC(((((($I$6*$L$6)*12)/$J$6)/12)),2)</f>
        <v>85.6</v>
      </c>
    </row>
    <row r="7" spans="1:16" ht="16.5" customHeight="1" x14ac:dyDescent="0.3">
      <c r="A7" s="222" t="s">
        <v>91</v>
      </c>
      <c r="B7" s="222"/>
      <c r="C7" s="222"/>
      <c r="D7" s="222"/>
      <c r="E7" s="222"/>
      <c r="F7" s="222"/>
      <c r="G7" s="222"/>
      <c r="H7" s="222"/>
      <c r="I7" s="222"/>
      <c r="J7" s="222"/>
      <c r="K7" s="222"/>
      <c r="L7" s="222"/>
      <c r="M7" s="222"/>
      <c r="N7" s="222"/>
      <c r="O7" s="222"/>
      <c r="P7" s="203">
        <f>SUM(P6:P6)</f>
        <v>85.6</v>
      </c>
    </row>
    <row r="8" spans="1:16" x14ac:dyDescent="0.3">
      <c r="A8" s="51"/>
      <c r="B8" s="51"/>
      <c r="C8" s="51"/>
      <c r="D8" s="51"/>
      <c r="E8" s="51"/>
      <c r="F8" s="51"/>
      <c r="G8" s="51"/>
      <c r="H8" s="51"/>
      <c r="I8" s="51"/>
      <c r="J8" s="51"/>
      <c r="K8" s="51"/>
      <c r="L8" s="51"/>
      <c r="M8" s="51"/>
      <c r="N8" s="51"/>
      <c r="O8" s="51"/>
      <c r="P8" s="51"/>
    </row>
    <row r="9" spans="1:16" x14ac:dyDescent="0.3">
      <c r="A9" s="51"/>
      <c r="B9" s="51"/>
      <c r="C9" s="51"/>
      <c r="D9" s="51"/>
      <c r="E9" s="51"/>
      <c r="F9" s="51"/>
      <c r="G9" s="51"/>
      <c r="H9" s="51"/>
      <c r="I9" s="51"/>
      <c r="J9" s="51"/>
      <c r="K9" s="51"/>
      <c r="L9" s="51"/>
      <c r="M9" s="51"/>
      <c r="N9" s="51"/>
      <c r="O9" s="51"/>
      <c r="P9" s="51"/>
    </row>
    <row r="10" spans="1:16" x14ac:dyDescent="0.3">
      <c r="A10" s="50"/>
      <c r="B10" s="50"/>
      <c r="C10" s="50"/>
      <c r="D10" s="50"/>
      <c r="E10" s="50"/>
      <c r="F10" s="50"/>
      <c r="G10" s="50"/>
      <c r="H10" s="50"/>
      <c r="I10" s="50"/>
      <c r="J10" s="50"/>
      <c r="K10" s="50"/>
      <c r="L10" s="50"/>
      <c r="M10" s="50"/>
      <c r="N10" s="50"/>
      <c r="O10" s="50"/>
      <c r="P10" s="102"/>
    </row>
    <row r="11" spans="1:16" ht="16.5" customHeight="1" x14ac:dyDescent="0.3">
      <c r="A11" s="264" t="s">
        <v>466</v>
      </c>
      <c r="B11" s="264"/>
      <c r="C11" s="264"/>
      <c r="D11" s="264"/>
      <c r="E11" s="264"/>
      <c r="F11" s="264"/>
      <c r="G11" s="264"/>
      <c r="H11" s="264"/>
      <c r="I11" s="264"/>
      <c r="J11" s="264"/>
      <c r="K11" s="264"/>
      <c r="L11" s="264"/>
      <c r="M11" s="264"/>
      <c r="N11" s="264"/>
      <c r="O11" s="264"/>
      <c r="P11" s="264"/>
    </row>
    <row r="12" spans="1:16" ht="16.5" customHeight="1" x14ac:dyDescent="0.3">
      <c r="A12" s="264" t="s">
        <v>467</v>
      </c>
      <c r="B12" s="264"/>
      <c r="C12" s="264"/>
      <c r="D12" s="264"/>
      <c r="E12" s="264"/>
      <c r="F12" s="264"/>
      <c r="G12" s="264"/>
      <c r="H12" s="264"/>
      <c r="I12" s="264"/>
      <c r="J12" s="264"/>
      <c r="K12" s="264"/>
      <c r="L12" s="264"/>
      <c r="M12" s="264"/>
      <c r="N12" s="264"/>
      <c r="O12" s="264"/>
      <c r="P12" s="264"/>
    </row>
    <row r="13" spans="1:16" x14ac:dyDescent="0.3">
      <c r="A13" s="222"/>
      <c r="B13" s="222"/>
      <c r="C13" s="222"/>
      <c r="D13" s="222"/>
      <c r="E13" s="222"/>
      <c r="F13" s="222"/>
      <c r="G13" s="222"/>
      <c r="H13" s="222"/>
      <c r="I13" s="222"/>
      <c r="J13" s="222"/>
      <c r="K13" s="222"/>
      <c r="L13" s="222"/>
      <c r="M13" s="222"/>
      <c r="N13" s="222"/>
      <c r="O13" s="222"/>
      <c r="P13" s="222"/>
    </row>
    <row r="14" spans="1:16" ht="16.5" customHeight="1" x14ac:dyDescent="0.3">
      <c r="A14" s="265" t="s">
        <v>452</v>
      </c>
      <c r="B14" s="265"/>
      <c r="C14" s="265"/>
      <c r="D14" s="265"/>
      <c r="E14" s="265"/>
      <c r="F14" s="265"/>
      <c r="G14" s="265"/>
      <c r="H14" s="265"/>
      <c r="I14" s="265"/>
      <c r="J14" s="265"/>
      <c r="K14" s="265"/>
      <c r="L14" s="265"/>
      <c r="M14" s="265"/>
      <c r="N14" s="265"/>
      <c r="O14" s="265"/>
      <c r="P14" s="265"/>
    </row>
    <row r="15" spans="1:16" ht="77.25" customHeight="1" x14ac:dyDescent="0.3">
      <c r="A15" s="1" t="s">
        <v>1</v>
      </c>
      <c r="B15" s="1" t="s">
        <v>453</v>
      </c>
      <c r="C15" s="1" t="s">
        <v>110</v>
      </c>
      <c r="D15" s="1" t="s">
        <v>454</v>
      </c>
      <c r="E15" s="1" t="s">
        <v>455</v>
      </c>
      <c r="F15" s="1" t="s">
        <v>102</v>
      </c>
      <c r="G15" s="1" t="s">
        <v>103</v>
      </c>
      <c r="H15" s="1" t="s">
        <v>104</v>
      </c>
      <c r="I15" s="1" t="s">
        <v>456</v>
      </c>
      <c r="J15" s="1" t="s">
        <v>457</v>
      </c>
      <c r="K15" s="1" t="s">
        <v>458</v>
      </c>
      <c r="L15" s="1" t="s">
        <v>459</v>
      </c>
      <c r="M15" s="1" t="s">
        <v>460</v>
      </c>
      <c r="N15" s="1" t="s">
        <v>461</v>
      </c>
      <c r="O15" s="1" t="s">
        <v>462</v>
      </c>
      <c r="P15" s="1" t="s">
        <v>463</v>
      </c>
    </row>
    <row r="16" spans="1:16" ht="47.25" customHeight="1" x14ac:dyDescent="0.3">
      <c r="A16" s="1">
        <v>1</v>
      </c>
      <c r="B16" s="103" t="s">
        <v>468</v>
      </c>
      <c r="C16" s="42" t="s">
        <v>465</v>
      </c>
      <c r="D16" s="42">
        <v>3</v>
      </c>
      <c r="E16" s="201">
        <v>1335.77</v>
      </c>
      <c r="F16" s="98">
        <f>TRUNC((E16*'Salários.VA.VT.QteDias.LDI.T'!$G$48),2)</f>
        <v>137.58000000000001</v>
      </c>
      <c r="G16" s="98">
        <f>TRUNC((((E16+F16)/(1-'Salários.VA.VT.QteDias.LDI.T'!$G$56))*'Salários.VA.VT.QteDias.LDI.T'!$G$56),2)</f>
        <v>139.51</v>
      </c>
      <c r="H16" s="98">
        <f>TRUNC(SUM(E16:G16),2)</f>
        <v>1612.86</v>
      </c>
      <c r="I16" s="43">
        <f>TRUNC((D16*H16),2)</f>
        <v>4838.58</v>
      </c>
      <c r="J16" s="42">
        <v>5</v>
      </c>
      <c r="K16" s="99">
        <v>120</v>
      </c>
      <c r="L16" s="100">
        <v>0.1</v>
      </c>
      <c r="M16" s="101">
        <v>0.1</v>
      </c>
      <c r="N16" s="98">
        <f>TRUNC((I16*10%),2)</f>
        <v>483.85</v>
      </c>
      <c r="O16" s="98">
        <f>TRUNC((I16-N16),2)</f>
        <v>4354.7299999999996</v>
      </c>
      <c r="P16" s="98">
        <f>TRUNC((((((I16*L16)*12)/J16)/12)),2)</f>
        <v>96.77</v>
      </c>
    </row>
    <row r="17" spans="1:16" ht="16.5" customHeight="1" x14ac:dyDescent="0.3">
      <c r="A17" s="222" t="s">
        <v>91</v>
      </c>
      <c r="B17" s="222"/>
      <c r="C17" s="222"/>
      <c r="D17" s="222"/>
      <c r="E17" s="222"/>
      <c r="F17" s="222"/>
      <c r="G17" s="222"/>
      <c r="H17" s="222"/>
      <c r="I17" s="222"/>
      <c r="J17" s="222"/>
      <c r="K17" s="222"/>
      <c r="L17" s="222"/>
      <c r="M17" s="222"/>
      <c r="N17" s="222"/>
      <c r="O17" s="222"/>
      <c r="P17" s="203">
        <f>SUM(P16:P16)</f>
        <v>96.77</v>
      </c>
    </row>
    <row r="18" spans="1:16" x14ac:dyDescent="0.3">
      <c r="A18" s="51"/>
      <c r="B18" s="51"/>
      <c r="C18" s="51"/>
      <c r="D18" s="51"/>
      <c r="E18" s="51"/>
      <c r="F18" s="51"/>
      <c r="G18" s="51"/>
      <c r="H18" s="51"/>
      <c r="I18" s="51"/>
      <c r="J18" s="51"/>
      <c r="K18" s="51"/>
      <c r="L18" s="51"/>
      <c r="M18" s="51"/>
      <c r="N18" s="51"/>
      <c r="O18" s="51"/>
      <c r="P18" s="51"/>
    </row>
    <row r="19" spans="1:16" x14ac:dyDescent="0.3">
      <c r="A19" s="51"/>
      <c r="B19" s="51"/>
      <c r="C19" s="51"/>
      <c r="D19" s="51"/>
      <c r="E19" s="51"/>
      <c r="F19" s="51"/>
      <c r="G19" s="51"/>
      <c r="H19" s="51"/>
      <c r="I19" s="51"/>
      <c r="J19" s="51"/>
      <c r="K19" s="51"/>
      <c r="L19" s="51"/>
      <c r="M19" s="51"/>
      <c r="N19" s="51"/>
      <c r="O19" s="51"/>
      <c r="P19" s="51"/>
    </row>
    <row r="20" spans="1:16" x14ac:dyDescent="0.3">
      <c r="A20" s="51"/>
      <c r="B20" s="51"/>
      <c r="C20" s="51"/>
      <c r="D20" s="51"/>
      <c r="E20" s="51"/>
      <c r="F20" s="51"/>
      <c r="G20" s="51"/>
      <c r="H20" s="51"/>
      <c r="I20" s="51"/>
      <c r="J20" s="51"/>
      <c r="K20" s="51"/>
      <c r="L20" s="51"/>
      <c r="M20" s="51"/>
      <c r="N20" s="51"/>
      <c r="O20" s="51"/>
      <c r="P20" s="51"/>
    </row>
    <row r="21" spans="1:16" ht="16.5" customHeight="1" x14ac:dyDescent="0.3">
      <c r="A21" s="264" t="s">
        <v>466</v>
      </c>
      <c r="B21" s="264"/>
      <c r="C21" s="264"/>
      <c r="D21" s="264"/>
      <c r="E21" s="264"/>
      <c r="F21" s="264"/>
      <c r="G21" s="264"/>
      <c r="H21" s="264"/>
      <c r="I21" s="264"/>
      <c r="J21" s="264"/>
      <c r="K21" s="264"/>
      <c r="L21" s="264"/>
      <c r="M21" s="264"/>
      <c r="N21" s="264"/>
      <c r="O21" s="264"/>
      <c r="P21" s="264"/>
    </row>
    <row r="22" spans="1:16" ht="16.5" customHeight="1" x14ac:dyDescent="0.3">
      <c r="A22" s="264" t="s">
        <v>469</v>
      </c>
      <c r="B22" s="264"/>
      <c r="C22" s="264"/>
      <c r="D22" s="264"/>
      <c r="E22" s="264"/>
      <c r="F22" s="264"/>
      <c r="G22" s="264"/>
      <c r="H22" s="264"/>
      <c r="I22" s="264"/>
      <c r="J22" s="264"/>
      <c r="K22" s="264"/>
      <c r="L22" s="264"/>
      <c r="M22" s="264"/>
      <c r="N22" s="264"/>
      <c r="O22" s="264"/>
      <c r="P22" s="264"/>
    </row>
    <row r="23" spans="1:16" x14ac:dyDescent="0.3">
      <c r="A23" s="222"/>
      <c r="B23" s="222"/>
      <c r="C23" s="222"/>
      <c r="D23" s="222"/>
      <c r="E23" s="222"/>
      <c r="F23" s="222"/>
      <c r="G23" s="222"/>
      <c r="H23" s="222"/>
      <c r="I23" s="222"/>
      <c r="J23" s="222"/>
      <c r="K23" s="222"/>
      <c r="L23" s="222"/>
      <c r="M23" s="222"/>
      <c r="N23" s="222"/>
      <c r="O23" s="222"/>
      <c r="P23" s="222"/>
    </row>
    <row r="24" spans="1:16" ht="16.5" customHeight="1" x14ac:dyDescent="0.3">
      <c r="A24" s="265" t="s">
        <v>452</v>
      </c>
      <c r="B24" s="265"/>
      <c r="C24" s="265"/>
      <c r="D24" s="265"/>
      <c r="E24" s="265"/>
      <c r="F24" s="265"/>
      <c r="G24" s="265"/>
      <c r="H24" s="265"/>
      <c r="I24" s="265"/>
      <c r="J24" s="265"/>
      <c r="K24" s="265"/>
      <c r="L24" s="265"/>
      <c r="M24" s="265"/>
      <c r="N24" s="265"/>
      <c r="O24" s="265"/>
      <c r="P24" s="265"/>
    </row>
    <row r="25" spans="1:16" ht="69.75" customHeight="1" x14ac:dyDescent="0.3">
      <c r="A25" s="1" t="s">
        <v>1</v>
      </c>
      <c r="B25" s="1" t="s">
        <v>453</v>
      </c>
      <c r="C25" s="1" t="s">
        <v>110</v>
      </c>
      <c r="D25" s="1" t="s">
        <v>454</v>
      </c>
      <c r="E25" s="1" t="s">
        <v>455</v>
      </c>
      <c r="F25" s="1" t="s">
        <v>102</v>
      </c>
      <c r="G25" s="1" t="s">
        <v>103</v>
      </c>
      <c r="H25" s="1" t="s">
        <v>104</v>
      </c>
      <c r="I25" s="1" t="s">
        <v>456</v>
      </c>
      <c r="J25" s="1" t="s">
        <v>457</v>
      </c>
      <c r="K25" s="1" t="s">
        <v>458</v>
      </c>
      <c r="L25" s="1" t="s">
        <v>459</v>
      </c>
      <c r="M25" s="1" t="s">
        <v>460</v>
      </c>
      <c r="N25" s="1" t="s">
        <v>461</v>
      </c>
      <c r="O25" s="1" t="s">
        <v>462</v>
      </c>
      <c r="P25" s="1" t="s">
        <v>463</v>
      </c>
    </row>
    <row r="26" spans="1:16" ht="24.75" customHeight="1" x14ac:dyDescent="0.3">
      <c r="A26" s="1">
        <v>1</v>
      </c>
      <c r="B26" s="104" t="s">
        <v>470</v>
      </c>
      <c r="C26" s="42" t="s">
        <v>465</v>
      </c>
      <c r="D26" s="42">
        <v>1</v>
      </c>
      <c r="E26" s="201">
        <v>738.44</v>
      </c>
      <c r="F26" s="98">
        <f>TRUNC((E26*'Salários.VA.VT.QteDias.LDI.T'!$G$48),2)</f>
        <v>76.05</v>
      </c>
      <c r="G26" s="98">
        <f>TRUNC((((E26+F26)/(1-'Salários.VA.VT.QteDias.LDI.T'!$G$56))*'Salários.VA.VT.QteDias.LDI.T'!$G$56),2)</f>
        <v>77.12</v>
      </c>
      <c r="H26" s="98">
        <f>TRUNC(SUM(E26:G26),2)</f>
        <v>891.61</v>
      </c>
      <c r="I26" s="43">
        <f>TRUNC((D26*H26),2)</f>
        <v>891.61</v>
      </c>
      <c r="J26" s="42">
        <v>1</v>
      </c>
      <c r="K26" s="99">
        <v>120</v>
      </c>
      <c r="L26" s="100">
        <v>0.1</v>
      </c>
      <c r="M26" s="101">
        <v>0.1</v>
      </c>
      <c r="N26" s="98">
        <f>TRUNC((I26*10%),2)</f>
        <v>89.16</v>
      </c>
      <c r="O26" s="98">
        <f>TRUNC((I26-N26),2)</f>
        <v>802.45</v>
      </c>
      <c r="P26" s="98">
        <f>TRUNC((((((I26*L26)*12)/J26)/12)),2)</f>
        <v>89.16</v>
      </c>
    </row>
    <row r="27" spans="1:16" ht="24.75" customHeight="1" x14ac:dyDescent="0.3">
      <c r="A27" s="1">
        <v>3</v>
      </c>
      <c r="B27" s="97" t="s">
        <v>471</v>
      </c>
      <c r="C27" s="42" t="s">
        <v>465</v>
      </c>
      <c r="D27" s="42">
        <v>1</v>
      </c>
      <c r="E27" s="201">
        <v>207.35</v>
      </c>
      <c r="F27" s="98">
        <f>TRUNC((E27*'Salários.VA.VT.QteDias.LDI.T'!$G$48),2)</f>
        <v>21.35</v>
      </c>
      <c r="G27" s="98">
        <f>TRUNC((((E27+F27)/(1-'Salários.VA.VT.QteDias.LDI.T'!$G$56))*'Salários.VA.VT.QteDias.LDI.T'!$G$56),2)</f>
        <v>21.65</v>
      </c>
      <c r="H27" s="98">
        <f>TRUNC(SUM(E27:G27),2)</f>
        <v>250.35</v>
      </c>
      <c r="I27" s="43">
        <f>TRUNC((D27*H27),2)</f>
        <v>250.35</v>
      </c>
      <c r="J27" s="42">
        <v>1</v>
      </c>
      <c r="K27" s="99">
        <v>120</v>
      </c>
      <c r="L27" s="100">
        <v>0.1</v>
      </c>
      <c r="M27" s="101">
        <v>0.1</v>
      </c>
      <c r="N27" s="98">
        <f>TRUNC((I27*10%),2)</f>
        <v>25.03</v>
      </c>
      <c r="O27" s="98">
        <f>TRUNC((I27-N27),2)</f>
        <v>225.32</v>
      </c>
      <c r="P27" s="98">
        <f>TRUNC((((((I27*L27)*12)/J27)/12)),2)</f>
        <v>25.03</v>
      </c>
    </row>
    <row r="28" spans="1:16" ht="16.5" customHeight="1" x14ac:dyDescent="0.3">
      <c r="A28" s="222" t="s">
        <v>91</v>
      </c>
      <c r="B28" s="222"/>
      <c r="C28" s="222"/>
      <c r="D28" s="222"/>
      <c r="E28" s="222"/>
      <c r="F28" s="222"/>
      <c r="G28" s="222"/>
      <c r="H28" s="222"/>
      <c r="I28" s="222"/>
      <c r="J28" s="222"/>
      <c r="K28" s="222"/>
      <c r="L28" s="222"/>
      <c r="M28" s="222"/>
      <c r="N28" s="222"/>
      <c r="O28" s="222"/>
      <c r="P28" s="203">
        <f>SUM(P26:P27)</f>
        <v>114.19</v>
      </c>
    </row>
    <row r="29" spans="1:16" x14ac:dyDescent="0.3">
      <c r="A29" s="51"/>
      <c r="B29" s="51"/>
      <c r="C29" s="51"/>
      <c r="D29" s="51"/>
      <c r="E29" s="51"/>
      <c r="F29" s="51"/>
      <c r="G29" s="51"/>
      <c r="H29" s="51"/>
      <c r="I29" s="51"/>
      <c r="J29" s="51"/>
      <c r="K29" s="51"/>
      <c r="L29" s="51"/>
      <c r="M29" s="51"/>
      <c r="N29" s="51"/>
      <c r="O29" s="51"/>
      <c r="P29" s="51"/>
    </row>
    <row r="30" spans="1:16" x14ac:dyDescent="0.3">
      <c r="A30" s="51"/>
      <c r="B30" s="51"/>
      <c r="C30" s="51"/>
      <c r="D30" s="51"/>
      <c r="E30" s="51"/>
      <c r="F30" s="51"/>
      <c r="G30" s="51"/>
      <c r="H30" s="51"/>
      <c r="I30" s="51"/>
      <c r="J30" s="51"/>
      <c r="K30" s="51"/>
      <c r="L30" s="51"/>
      <c r="M30" s="51"/>
      <c r="N30" s="51"/>
      <c r="O30" s="51"/>
      <c r="P30" s="51"/>
    </row>
    <row r="31" spans="1:16" x14ac:dyDescent="0.3">
      <c r="A31" s="51"/>
      <c r="B31" s="51"/>
      <c r="C31" s="51"/>
      <c r="D31" s="51"/>
      <c r="E31" s="51"/>
      <c r="F31" s="51"/>
      <c r="G31" s="51"/>
      <c r="H31" s="51"/>
      <c r="I31" s="51"/>
      <c r="J31" s="51"/>
      <c r="K31" s="51"/>
      <c r="L31" s="51"/>
      <c r="M31" s="51"/>
      <c r="N31" s="51"/>
      <c r="O31" s="51"/>
      <c r="P31" s="51"/>
    </row>
    <row r="32" spans="1:16" ht="16.5" customHeight="1" x14ac:dyDescent="0.3">
      <c r="A32" s="264" t="s">
        <v>466</v>
      </c>
      <c r="B32" s="264"/>
      <c r="C32" s="264"/>
      <c r="D32" s="264"/>
      <c r="E32" s="264"/>
      <c r="F32" s="264"/>
      <c r="G32" s="264"/>
      <c r="H32" s="264"/>
      <c r="I32" s="264"/>
      <c r="J32" s="264"/>
      <c r="K32" s="264"/>
      <c r="L32" s="264"/>
      <c r="M32" s="264"/>
      <c r="N32" s="264"/>
      <c r="O32" s="264"/>
      <c r="P32" s="264"/>
    </row>
    <row r="33" spans="1:16" ht="16.5" customHeight="1" x14ac:dyDescent="0.3">
      <c r="A33" s="264" t="s">
        <v>472</v>
      </c>
      <c r="B33" s="264"/>
      <c r="C33" s="264"/>
      <c r="D33" s="264"/>
      <c r="E33" s="264"/>
      <c r="F33" s="264"/>
      <c r="G33" s="264"/>
      <c r="H33" s="264"/>
      <c r="I33" s="264"/>
      <c r="J33" s="264"/>
      <c r="K33" s="264"/>
      <c r="L33" s="264"/>
      <c r="M33" s="264"/>
      <c r="N33" s="264"/>
      <c r="O33" s="264"/>
      <c r="P33" s="264"/>
    </row>
    <row r="34" spans="1:16" x14ac:dyDescent="0.3">
      <c r="A34" s="222"/>
      <c r="B34" s="222"/>
      <c r="C34" s="222"/>
      <c r="D34" s="222"/>
      <c r="E34" s="222"/>
      <c r="F34" s="222"/>
      <c r="G34" s="222"/>
      <c r="H34" s="222"/>
      <c r="I34" s="222"/>
      <c r="J34" s="222"/>
      <c r="K34" s="222"/>
      <c r="L34" s="222"/>
      <c r="M34" s="222"/>
      <c r="N34" s="222"/>
      <c r="O34" s="222"/>
      <c r="P34" s="222"/>
    </row>
    <row r="35" spans="1:16" ht="16.5" customHeight="1" x14ac:dyDescent="0.3">
      <c r="A35" s="265" t="s">
        <v>452</v>
      </c>
      <c r="B35" s="265"/>
      <c r="C35" s="265"/>
      <c r="D35" s="265"/>
      <c r="E35" s="265"/>
      <c r="F35" s="265"/>
      <c r="G35" s="265"/>
      <c r="H35" s="265"/>
      <c r="I35" s="265"/>
      <c r="J35" s="265"/>
      <c r="K35" s="265"/>
      <c r="L35" s="265"/>
      <c r="M35" s="265"/>
      <c r="N35" s="265"/>
      <c r="O35" s="265"/>
      <c r="P35" s="265"/>
    </row>
    <row r="36" spans="1:16" ht="69.75" customHeight="1" x14ac:dyDescent="0.3">
      <c r="A36" s="1" t="s">
        <v>1</v>
      </c>
      <c r="B36" s="1" t="s">
        <v>453</v>
      </c>
      <c r="C36" s="1" t="s">
        <v>110</v>
      </c>
      <c r="D36" s="1" t="s">
        <v>454</v>
      </c>
      <c r="E36" s="1" t="s">
        <v>455</v>
      </c>
      <c r="F36" s="1" t="s">
        <v>102</v>
      </c>
      <c r="G36" s="1" t="s">
        <v>103</v>
      </c>
      <c r="H36" s="1" t="s">
        <v>104</v>
      </c>
      <c r="I36" s="1" t="s">
        <v>456</v>
      </c>
      <c r="J36" s="1" t="s">
        <v>457</v>
      </c>
      <c r="K36" s="1" t="s">
        <v>458</v>
      </c>
      <c r="L36" s="1" t="s">
        <v>459</v>
      </c>
      <c r="M36" s="1" t="s">
        <v>460</v>
      </c>
      <c r="N36" s="1" t="s">
        <v>461</v>
      </c>
      <c r="O36" s="1" t="s">
        <v>462</v>
      </c>
      <c r="P36" s="1" t="s">
        <v>463</v>
      </c>
    </row>
    <row r="37" spans="1:16" ht="24.75" customHeight="1" x14ac:dyDescent="0.3">
      <c r="A37" s="1">
        <v>1</v>
      </c>
      <c r="B37" s="94" t="s">
        <v>473</v>
      </c>
      <c r="C37" s="42" t="s">
        <v>465</v>
      </c>
      <c r="D37" s="42">
        <v>2</v>
      </c>
      <c r="E37" s="201">
        <v>955.7</v>
      </c>
      <c r="F37" s="98">
        <f>TRUNC((E37*'Salários.VA.VT.QteDias.LDI.T'!$G$48),2)</f>
        <v>98.43</v>
      </c>
      <c r="G37" s="98">
        <f>TRUNC((((E37+F37)/(1-'Salários.VA.VT.QteDias.LDI.T'!$G$56))*'Salários.VA.VT.QteDias.LDI.T'!$G$56),2)</f>
        <v>99.81</v>
      </c>
      <c r="H37" s="98">
        <f t="shared" ref="H37:H65" si="0">TRUNC(SUM(E37:G37),2)</f>
        <v>1153.94</v>
      </c>
      <c r="I37" s="43">
        <f t="shared" ref="I37:I65" si="1">TRUNC((D37*H37),2)</f>
        <v>2307.88</v>
      </c>
      <c r="J37" s="42">
        <v>2</v>
      </c>
      <c r="K37" s="99">
        <v>120</v>
      </c>
      <c r="L37" s="100">
        <v>0.1</v>
      </c>
      <c r="M37" s="101">
        <v>0.1</v>
      </c>
      <c r="N37" s="98">
        <f t="shared" ref="N37:N65" si="2">TRUNC((I37*10%),2)</f>
        <v>230.78</v>
      </c>
      <c r="O37" s="98">
        <f t="shared" ref="O37:O65" si="3">TRUNC((I37-N37),2)</f>
        <v>2077.1</v>
      </c>
      <c r="P37" s="98">
        <f t="shared" ref="P37:P65" si="4">TRUNC((((((I37*L37)*12)/J37)/12)),2)</f>
        <v>115.39</v>
      </c>
    </row>
    <row r="38" spans="1:16" ht="24.75" customHeight="1" x14ac:dyDescent="0.3">
      <c r="A38" s="1">
        <v>2</v>
      </c>
      <c r="B38" s="94" t="s">
        <v>474</v>
      </c>
      <c r="C38" s="42" t="s">
        <v>465</v>
      </c>
      <c r="D38" s="42">
        <v>2</v>
      </c>
      <c r="E38" s="201">
        <v>832.72</v>
      </c>
      <c r="F38" s="98">
        <f>TRUNC((E38*'Salários.VA.VT.QteDias.LDI.T'!$G$48),2)</f>
        <v>85.77</v>
      </c>
      <c r="G38" s="98">
        <f>TRUNC((((E38+F38)/(1-'Salários.VA.VT.QteDias.LDI.T'!$G$56))*'Salários.VA.VT.QteDias.LDI.T'!$G$56),2)</f>
        <v>86.97</v>
      </c>
      <c r="H38" s="98">
        <f t="shared" si="0"/>
        <v>1005.46</v>
      </c>
      <c r="I38" s="43">
        <f t="shared" si="1"/>
        <v>2010.92</v>
      </c>
      <c r="J38" s="42">
        <v>2</v>
      </c>
      <c r="K38" s="99">
        <v>120</v>
      </c>
      <c r="L38" s="100">
        <v>0.1</v>
      </c>
      <c r="M38" s="101">
        <v>0.1</v>
      </c>
      <c r="N38" s="98">
        <f t="shared" si="2"/>
        <v>201.09</v>
      </c>
      <c r="O38" s="98">
        <f t="shared" si="3"/>
        <v>1809.83</v>
      </c>
      <c r="P38" s="98">
        <f t="shared" si="4"/>
        <v>100.54</v>
      </c>
    </row>
    <row r="39" spans="1:16" ht="24.75" customHeight="1" x14ac:dyDescent="0.3">
      <c r="A39" s="1">
        <v>3</v>
      </c>
      <c r="B39" s="94" t="s">
        <v>475</v>
      </c>
      <c r="C39" s="42" t="s">
        <v>465</v>
      </c>
      <c r="D39" s="42">
        <v>2</v>
      </c>
      <c r="E39" s="201">
        <v>547.97</v>
      </c>
      <c r="F39" s="98">
        <f>TRUNC((E39*'Salários.VA.VT.QteDias.LDI.T'!$G$48),2)</f>
        <v>56.44</v>
      </c>
      <c r="G39" s="98">
        <f>TRUNC((((E39+F39)/(1-'Salários.VA.VT.QteDias.LDI.T'!$G$56))*'Salários.VA.VT.QteDias.LDI.T'!$G$56),2)</f>
        <v>57.23</v>
      </c>
      <c r="H39" s="98">
        <f t="shared" si="0"/>
        <v>661.64</v>
      </c>
      <c r="I39" s="43">
        <f t="shared" si="1"/>
        <v>1323.28</v>
      </c>
      <c r="J39" s="42">
        <v>2</v>
      </c>
      <c r="K39" s="99">
        <v>120</v>
      </c>
      <c r="L39" s="100">
        <v>0.1</v>
      </c>
      <c r="M39" s="101">
        <v>0.1</v>
      </c>
      <c r="N39" s="98">
        <f t="shared" si="2"/>
        <v>132.32</v>
      </c>
      <c r="O39" s="98">
        <f t="shared" si="3"/>
        <v>1190.96</v>
      </c>
      <c r="P39" s="98">
        <f t="shared" si="4"/>
        <v>66.16</v>
      </c>
    </row>
    <row r="40" spans="1:16" ht="24.75" customHeight="1" x14ac:dyDescent="0.3">
      <c r="A40" s="1">
        <v>4</v>
      </c>
      <c r="B40" s="94" t="s">
        <v>476</v>
      </c>
      <c r="C40" s="42" t="s">
        <v>465</v>
      </c>
      <c r="D40" s="42">
        <v>2</v>
      </c>
      <c r="E40" s="201">
        <v>139.86000000000001</v>
      </c>
      <c r="F40" s="98">
        <f>TRUNC((E40*'Salários.VA.VT.QteDias.LDI.T'!$G$48),2)</f>
        <v>14.4</v>
      </c>
      <c r="G40" s="98">
        <f>TRUNC((((E40+F40)/(1-'Salários.VA.VT.QteDias.LDI.T'!$G$56))*'Salários.VA.VT.QteDias.LDI.T'!$G$56),2)</f>
        <v>14.6</v>
      </c>
      <c r="H40" s="98">
        <f t="shared" si="0"/>
        <v>168.86</v>
      </c>
      <c r="I40" s="43">
        <f t="shared" si="1"/>
        <v>337.72</v>
      </c>
      <c r="J40" s="42">
        <v>2</v>
      </c>
      <c r="K40" s="99">
        <v>120</v>
      </c>
      <c r="L40" s="100">
        <v>0.1</v>
      </c>
      <c r="M40" s="101">
        <v>0.1</v>
      </c>
      <c r="N40" s="98">
        <f t="shared" si="2"/>
        <v>33.770000000000003</v>
      </c>
      <c r="O40" s="98">
        <f t="shared" si="3"/>
        <v>303.95</v>
      </c>
      <c r="P40" s="98">
        <f t="shared" si="4"/>
        <v>16.88</v>
      </c>
    </row>
    <row r="41" spans="1:16" ht="24.75" customHeight="1" x14ac:dyDescent="0.3">
      <c r="A41" s="1">
        <v>5</v>
      </c>
      <c r="B41" s="94" t="s">
        <v>477</v>
      </c>
      <c r="C41" s="42" t="s">
        <v>465</v>
      </c>
      <c r="D41" s="42">
        <v>2</v>
      </c>
      <c r="E41" s="201">
        <v>1083.42</v>
      </c>
      <c r="F41" s="98">
        <f>TRUNC((E41*'Salários.VA.VT.QteDias.LDI.T'!$G$48),2)</f>
        <v>111.59</v>
      </c>
      <c r="G41" s="98">
        <f>TRUNC((((E41+F41)/(1-'Salários.VA.VT.QteDias.LDI.T'!$G$56))*'Salários.VA.VT.QteDias.LDI.T'!$G$56),2)</f>
        <v>113.15</v>
      </c>
      <c r="H41" s="98">
        <f t="shared" si="0"/>
        <v>1308.1600000000001</v>
      </c>
      <c r="I41" s="43">
        <f t="shared" si="1"/>
        <v>2616.3200000000002</v>
      </c>
      <c r="J41" s="42">
        <v>2</v>
      </c>
      <c r="K41" s="99">
        <v>120</v>
      </c>
      <c r="L41" s="100">
        <v>0.1</v>
      </c>
      <c r="M41" s="101">
        <v>0.1</v>
      </c>
      <c r="N41" s="98">
        <f t="shared" si="2"/>
        <v>261.63</v>
      </c>
      <c r="O41" s="98">
        <f t="shared" si="3"/>
        <v>2354.69</v>
      </c>
      <c r="P41" s="98">
        <f t="shared" si="4"/>
        <v>130.81</v>
      </c>
    </row>
    <row r="42" spans="1:16" ht="24.75" customHeight="1" x14ac:dyDescent="0.3">
      <c r="A42" s="1">
        <v>6</v>
      </c>
      <c r="B42" s="94" t="s">
        <v>478</v>
      </c>
      <c r="C42" s="42" t="s">
        <v>465</v>
      </c>
      <c r="D42" s="42">
        <v>2</v>
      </c>
      <c r="E42" s="201">
        <v>250.52</v>
      </c>
      <c r="F42" s="98">
        <f>TRUNC((E42*'Salários.VA.VT.QteDias.LDI.T'!$G$48),2)</f>
        <v>25.8</v>
      </c>
      <c r="G42" s="98">
        <f>TRUNC((((E42+F42)/(1-'Salários.VA.VT.QteDias.LDI.T'!$G$56))*'Salários.VA.VT.QteDias.LDI.T'!$G$56),2)</f>
        <v>26.16</v>
      </c>
      <c r="H42" s="98">
        <f t="shared" si="0"/>
        <v>302.48</v>
      </c>
      <c r="I42" s="43">
        <f t="shared" si="1"/>
        <v>604.96</v>
      </c>
      <c r="J42" s="42">
        <v>2</v>
      </c>
      <c r="K42" s="99">
        <v>120</v>
      </c>
      <c r="L42" s="100">
        <v>0.1</v>
      </c>
      <c r="M42" s="101">
        <v>0.1</v>
      </c>
      <c r="N42" s="98">
        <f t="shared" si="2"/>
        <v>60.49</v>
      </c>
      <c r="O42" s="98">
        <f t="shared" si="3"/>
        <v>544.47</v>
      </c>
      <c r="P42" s="98">
        <f t="shared" si="4"/>
        <v>30.24</v>
      </c>
    </row>
    <row r="43" spans="1:16" ht="24.75" customHeight="1" x14ac:dyDescent="0.3">
      <c r="A43" s="1">
        <v>7</v>
      </c>
      <c r="B43" s="94" t="s">
        <v>479</v>
      </c>
      <c r="C43" s="42" t="s">
        <v>465</v>
      </c>
      <c r="D43" s="42">
        <v>2</v>
      </c>
      <c r="E43" s="201">
        <v>231.7</v>
      </c>
      <c r="F43" s="98">
        <f>TRUNC((E43*'Salários.VA.VT.QteDias.LDI.T'!$G$48),2)</f>
        <v>23.86</v>
      </c>
      <c r="G43" s="98">
        <f>TRUNC((((E43+F43)/(1-'Salários.VA.VT.QteDias.LDI.T'!$G$56))*'Salários.VA.VT.QteDias.LDI.T'!$G$56),2)</f>
        <v>24.19</v>
      </c>
      <c r="H43" s="98">
        <f t="shared" si="0"/>
        <v>279.75</v>
      </c>
      <c r="I43" s="43">
        <f t="shared" si="1"/>
        <v>559.5</v>
      </c>
      <c r="J43" s="42">
        <v>2</v>
      </c>
      <c r="K43" s="99">
        <v>120</v>
      </c>
      <c r="L43" s="100">
        <v>0.1</v>
      </c>
      <c r="M43" s="101">
        <v>0.1</v>
      </c>
      <c r="N43" s="98">
        <f t="shared" si="2"/>
        <v>55.95</v>
      </c>
      <c r="O43" s="98">
        <f t="shared" si="3"/>
        <v>503.55</v>
      </c>
      <c r="P43" s="98">
        <f t="shared" si="4"/>
        <v>27.97</v>
      </c>
    </row>
    <row r="44" spans="1:16" ht="24.75" customHeight="1" x14ac:dyDescent="0.3">
      <c r="A44" s="1">
        <v>8</v>
      </c>
      <c r="B44" s="94" t="s">
        <v>480</v>
      </c>
      <c r="C44" s="42" t="s">
        <v>465</v>
      </c>
      <c r="D44" s="42">
        <v>2</v>
      </c>
      <c r="E44" s="201">
        <v>44.06</v>
      </c>
      <c r="F44" s="98">
        <f>TRUNC((E44*'Salários.VA.VT.QteDias.LDI.T'!$G$48),2)</f>
        <v>4.53</v>
      </c>
      <c r="G44" s="98">
        <f>TRUNC((((E44+F44)/(1-'Salários.VA.VT.QteDias.LDI.T'!$G$56))*'Salários.VA.VT.QteDias.LDI.T'!$G$56),2)</f>
        <v>4.5999999999999996</v>
      </c>
      <c r="H44" s="98">
        <f t="shared" si="0"/>
        <v>53.19</v>
      </c>
      <c r="I44" s="43">
        <f t="shared" si="1"/>
        <v>106.38</v>
      </c>
      <c r="J44" s="42">
        <v>2</v>
      </c>
      <c r="K44" s="99">
        <v>120</v>
      </c>
      <c r="L44" s="100">
        <v>0.1</v>
      </c>
      <c r="M44" s="101">
        <v>0.1</v>
      </c>
      <c r="N44" s="98">
        <f t="shared" si="2"/>
        <v>10.63</v>
      </c>
      <c r="O44" s="98">
        <f t="shared" si="3"/>
        <v>95.75</v>
      </c>
      <c r="P44" s="98">
        <f t="shared" si="4"/>
        <v>5.31</v>
      </c>
    </row>
    <row r="45" spans="1:16" ht="24.75" customHeight="1" x14ac:dyDescent="0.3">
      <c r="A45" s="1">
        <v>9</v>
      </c>
      <c r="B45" s="94" t="s">
        <v>481</v>
      </c>
      <c r="C45" s="42" t="s">
        <v>465</v>
      </c>
      <c r="D45" s="42">
        <v>2</v>
      </c>
      <c r="E45" s="201">
        <v>203.94</v>
      </c>
      <c r="F45" s="98">
        <f>TRUNC((E45*'Salários.VA.VT.QteDias.LDI.T'!$G$48),2)</f>
        <v>21</v>
      </c>
      <c r="G45" s="98">
        <f>TRUNC((((E45+F45)/(1-'Salários.VA.VT.QteDias.LDI.T'!$G$56))*'Salários.VA.VT.QteDias.LDI.T'!$G$56),2)</f>
        <v>21.29</v>
      </c>
      <c r="H45" s="98">
        <f t="shared" si="0"/>
        <v>246.23</v>
      </c>
      <c r="I45" s="43">
        <f t="shared" si="1"/>
        <v>492.46</v>
      </c>
      <c r="J45" s="42">
        <v>2</v>
      </c>
      <c r="K45" s="99">
        <v>120</v>
      </c>
      <c r="L45" s="100">
        <v>0.1</v>
      </c>
      <c r="M45" s="101">
        <v>0.1</v>
      </c>
      <c r="N45" s="98">
        <f t="shared" si="2"/>
        <v>49.24</v>
      </c>
      <c r="O45" s="98">
        <f t="shared" si="3"/>
        <v>443.22</v>
      </c>
      <c r="P45" s="98">
        <f t="shared" si="4"/>
        <v>24.62</v>
      </c>
    </row>
    <row r="46" spans="1:16" ht="24.75" customHeight="1" x14ac:dyDescent="0.3">
      <c r="A46" s="1">
        <v>10</v>
      </c>
      <c r="B46" s="94" t="s">
        <v>442</v>
      </c>
      <c r="C46" s="42" t="s">
        <v>465</v>
      </c>
      <c r="D46" s="42">
        <v>2</v>
      </c>
      <c r="E46" s="201">
        <v>118.92</v>
      </c>
      <c r="F46" s="98">
        <f>TRUNC((E46*'Salários.VA.VT.QteDias.LDI.T'!$G$48),2)</f>
        <v>12.24</v>
      </c>
      <c r="G46" s="98">
        <f>TRUNC((((E46+F46)/(1-'Salários.VA.VT.QteDias.LDI.T'!$G$56))*'Salários.VA.VT.QteDias.LDI.T'!$G$56),2)</f>
        <v>12.41</v>
      </c>
      <c r="H46" s="98">
        <f t="shared" si="0"/>
        <v>143.57</v>
      </c>
      <c r="I46" s="43">
        <f t="shared" si="1"/>
        <v>287.14</v>
      </c>
      <c r="J46" s="42">
        <v>2</v>
      </c>
      <c r="K46" s="99">
        <v>120</v>
      </c>
      <c r="L46" s="100">
        <v>0.1</v>
      </c>
      <c r="M46" s="101">
        <v>0.1</v>
      </c>
      <c r="N46" s="98">
        <f t="shared" si="2"/>
        <v>28.71</v>
      </c>
      <c r="O46" s="98">
        <f t="shared" si="3"/>
        <v>258.43</v>
      </c>
      <c r="P46" s="98">
        <f t="shared" si="4"/>
        <v>14.35</v>
      </c>
    </row>
    <row r="47" spans="1:16" ht="24.75" customHeight="1" x14ac:dyDescent="0.3">
      <c r="A47" s="1">
        <v>11</v>
      </c>
      <c r="B47" s="94" t="s">
        <v>482</v>
      </c>
      <c r="C47" s="42" t="s">
        <v>465</v>
      </c>
      <c r="D47" s="42">
        <v>2</v>
      </c>
      <c r="E47" s="202">
        <v>1088.33</v>
      </c>
      <c r="F47" s="98">
        <f>TRUNC((E47*'Salários.VA.VT.QteDias.LDI.T'!$G$48),2)</f>
        <v>112.09</v>
      </c>
      <c r="G47" s="98">
        <f>TRUNC((((E47+F47)/(1-'Salários.VA.VT.QteDias.LDI.T'!$G$56))*'Salários.VA.VT.QteDias.LDI.T'!$G$56),2)</f>
        <v>113.66</v>
      </c>
      <c r="H47" s="98">
        <f t="shared" si="0"/>
        <v>1314.08</v>
      </c>
      <c r="I47" s="43">
        <f t="shared" si="1"/>
        <v>2628.16</v>
      </c>
      <c r="J47" s="42">
        <v>2</v>
      </c>
      <c r="K47" s="99">
        <v>120</v>
      </c>
      <c r="L47" s="100">
        <v>0.1</v>
      </c>
      <c r="M47" s="101">
        <v>0.1</v>
      </c>
      <c r="N47" s="98">
        <f t="shared" si="2"/>
        <v>262.81</v>
      </c>
      <c r="O47" s="98">
        <f t="shared" si="3"/>
        <v>2365.35</v>
      </c>
      <c r="P47" s="98">
        <f t="shared" si="4"/>
        <v>131.4</v>
      </c>
    </row>
    <row r="48" spans="1:16" ht="24.75" customHeight="1" x14ac:dyDescent="0.3">
      <c r="A48" s="1">
        <v>12</v>
      </c>
      <c r="B48" s="94" t="s">
        <v>483</v>
      </c>
      <c r="C48" s="42" t="s">
        <v>465</v>
      </c>
      <c r="D48" s="42">
        <v>2</v>
      </c>
      <c r="E48" s="201">
        <v>173.65</v>
      </c>
      <c r="F48" s="98">
        <f>TRUNC((E48*'Salários.VA.VT.QteDias.LDI.T'!$G$48),2)</f>
        <v>17.88</v>
      </c>
      <c r="G48" s="98">
        <f>TRUNC((((E48+F48)/(1-'Salários.VA.VT.QteDias.LDI.T'!$G$56))*'Salários.VA.VT.QteDias.LDI.T'!$G$56),2)</f>
        <v>18.13</v>
      </c>
      <c r="H48" s="98">
        <f t="shared" si="0"/>
        <v>209.66</v>
      </c>
      <c r="I48" s="43">
        <f t="shared" si="1"/>
        <v>419.32</v>
      </c>
      <c r="J48" s="42">
        <v>2</v>
      </c>
      <c r="K48" s="99">
        <v>120</v>
      </c>
      <c r="L48" s="100">
        <v>0.1</v>
      </c>
      <c r="M48" s="101">
        <v>0.1</v>
      </c>
      <c r="N48" s="98">
        <f t="shared" si="2"/>
        <v>41.93</v>
      </c>
      <c r="O48" s="98">
        <f t="shared" si="3"/>
        <v>377.39</v>
      </c>
      <c r="P48" s="98">
        <f t="shared" si="4"/>
        <v>20.96</v>
      </c>
    </row>
    <row r="49" spans="1:16" ht="24.75" customHeight="1" x14ac:dyDescent="0.3">
      <c r="A49" s="1">
        <v>13</v>
      </c>
      <c r="B49" s="94" t="s">
        <v>484</v>
      </c>
      <c r="C49" s="42" t="s">
        <v>465</v>
      </c>
      <c r="D49" s="42">
        <v>2</v>
      </c>
      <c r="E49" s="201">
        <v>222.22</v>
      </c>
      <c r="F49" s="98">
        <f>TRUNC((E49*'Salários.VA.VT.QteDias.LDI.T'!$G$48),2)</f>
        <v>22.88</v>
      </c>
      <c r="G49" s="98">
        <f>TRUNC((((E49+F49)/(1-'Salários.VA.VT.QteDias.LDI.T'!$G$56))*'Salários.VA.VT.QteDias.LDI.T'!$G$56),2)</f>
        <v>23.2</v>
      </c>
      <c r="H49" s="98">
        <f t="shared" si="0"/>
        <v>268.3</v>
      </c>
      <c r="I49" s="43">
        <f t="shared" si="1"/>
        <v>536.6</v>
      </c>
      <c r="J49" s="42">
        <v>2</v>
      </c>
      <c r="K49" s="99">
        <v>120</v>
      </c>
      <c r="L49" s="100">
        <v>0.1</v>
      </c>
      <c r="M49" s="101">
        <v>0.1</v>
      </c>
      <c r="N49" s="98">
        <f t="shared" si="2"/>
        <v>53.66</v>
      </c>
      <c r="O49" s="98">
        <f t="shared" si="3"/>
        <v>482.94</v>
      </c>
      <c r="P49" s="98">
        <f t="shared" si="4"/>
        <v>26.83</v>
      </c>
    </row>
    <row r="50" spans="1:16" ht="24.75" customHeight="1" x14ac:dyDescent="0.3">
      <c r="A50" s="1">
        <v>14</v>
      </c>
      <c r="B50" s="94" t="s">
        <v>485</v>
      </c>
      <c r="C50" s="42" t="s">
        <v>465</v>
      </c>
      <c r="D50" s="42">
        <v>2</v>
      </c>
      <c r="E50" s="201">
        <v>17461.25</v>
      </c>
      <c r="F50" s="98">
        <f>TRUNC((E50*'Salários.VA.VT.QteDias.LDI.T'!$G$48),2)</f>
        <v>1798.5</v>
      </c>
      <c r="G50" s="98">
        <f>TRUNC((((E50+F50)/(1-'Salários.VA.VT.QteDias.LDI.T'!$G$56))*'Salários.VA.VT.QteDias.LDI.T'!$G$56),2)</f>
        <v>1823.72</v>
      </c>
      <c r="H50" s="98">
        <f t="shared" si="0"/>
        <v>21083.47</v>
      </c>
      <c r="I50" s="43">
        <f t="shared" si="1"/>
        <v>42166.94</v>
      </c>
      <c r="J50" s="42">
        <v>2</v>
      </c>
      <c r="K50" s="99">
        <v>120</v>
      </c>
      <c r="L50" s="100">
        <v>0.1</v>
      </c>
      <c r="M50" s="101">
        <v>0.1</v>
      </c>
      <c r="N50" s="98">
        <f t="shared" si="2"/>
        <v>4216.6899999999996</v>
      </c>
      <c r="O50" s="98">
        <f t="shared" si="3"/>
        <v>37950.25</v>
      </c>
      <c r="P50" s="98">
        <f t="shared" si="4"/>
        <v>2108.34</v>
      </c>
    </row>
    <row r="51" spans="1:16" ht="24.75" customHeight="1" x14ac:dyDescent="0.3">
      <c r="A51" s="1">
        <v>15</v>
      </c>
      <c r="B51" s="94" t="s">
        <v>486</v>
      </c>
      <c r="C51" s="42" t="s">
        <v>465</v>
      </c>
      <c r="D51" s="42">
        <v>2</v>
      </c>
      <c r="E51" s="201">
        <v>232.02</v>
      </c>
      <c r="F51" s="98">
        <f>TRUNC((E51*'Salários.VA.VT.QteDias.LDI.T'!$G$48),2)</f>
        <v>23.89</v>
      </c>
      <c r="G51" s="98">
        <f>TRUNC((((E51+F51)/(1-'Salários.VA.VT.QteDias.LDI.T'!$G$56))*'Salários.VA.VT.QteDias.LDI.T'!$G$56),2)</f>
        <v>24.23</v>
      </c>
      <c r="H51" s="98">
        <f t="shared" si="0"/>
        <v>280.14</v>
      </c>
      <c r="I51" s="43">
        <f t="shared" si="1"/>
        <v>560.28</v>
      </c>
      <c r="J51" s="42">
        <v>2</v>
      </c>
      <c r="K51" s="99">
        <v>120</v>
      </c>
      <c r="L51" s="100">
        <v>0.1</v>
      </c>
      <c r="M51" s="101">
        <v>0.1</v>
      </c>
      <c r="N51" s="98">
        <f t="shared" si="2"/>
        <v>56.02</v>
      </c>
      <c r="O51" s="98">
        <f t="shared" si="3"/>
        <v>504.26</v>
      </c>
      <c r="P51" s="98">
        <f t="shared" si="4"/>
        <v>28.01</v>
      </c>
    </row>
    <row r="52" spans="1:16" ht="24.75" customHeight="1" x14ac:dyDescent="0.3">
      <c r="A52" s="1">
        <v>16</v>
      </c>
      <c r="B52" s="94" t="s">
        <v>487</v>
      </c>
      <c r="C52" s="42" t="s">
        <v>465</v>
      </c>
      <c r="D52" s="42">
        <v>2</v>
      </c>
      <c r="E52" s="201">
        <v>73.040000000000006</v>
      </c>
      <c r="F52" s="98">
        <f>TRUNC((E52*'Salários.VA.VT.QteDias.LDI.T'!$G$48),2)</f>
        <v>7.52</v>
      </c>
      <c r="G52" s="98">
        <f>TRUNC((((E52+F52)/(1-'Salários.VA.VT.QteDias.LDI.T'!$G$56))*'Salários.VA.VT.QteDias.LDI.T'!$G$56),2)</f>
        <v>7.62</v>
      </c>
      <c r="H52" s="98">
        <f t="shared" si="0"/>
        <v>88.18</v>
      </c>
      <c r="I52" s="43">
        <f t="shared" si="1"/>
        <v>176.36</v>
      </c>
      <c r="J52" s="42">
        <v>2</v>
      </c>
      <c r="K52" s="99">
        <v>120</v>
      </c>
      <c r="L52" s="100">
        <v>0.1</v>
      </c>
      <c r="M52" s="101">
        <v>0.1</v>
      </c>
      <c r="N52" s="98">
        <f t="shared" si="2"/>
        <v>17.63</v>
      </c>
      <c r="O52" s="98">
        <f t="shared" si="3"/>
        <v>158.72999999999999</v>
      </c>
      <c r="P52" s="98">
        <f t="shared" si="4"/>
        <v>8.81</v>
      </c>
    </row>
    <row r="53" spans="1:16" ht="24.75" customHeight="1" x14ac:dyDescent="0.3">
      <c r="A53" s="1">
        <v>17</v>
      </c>
      <c r="B53" s="94" t="s">
        <v>488</v>
      </c>
      <c r="C53" s="42" t="s">
        <v>465</v>
      </c>
      <c r="D53" s="42">
        <v>2</v>
      </c>
      <c r="E53" s="201">
        <v>88.69</v>
      </c>
      <c r="F53" s="98">
        <f>TRUNC((E53*'Salários.VA.VT.QteDias.LDI.T'!$G$48),2)</f>
        <v>9.1300000000000008</v>
      </c>
      <c r="G53" s="98">
        <f>TRUNC((((E53+F53)/(1-'Salários.VA.VT.QteDias.LDI.T'!$G$56))*'Salários.VA.VT.QteDias.LDI.T'!$G$56),2)</f>
        <v>9.26</v>
      </c>
      <c r="H53" s="98">
        <f t="shared" si="0"/>
        <v>107.08</v>
      </c>
      <c r="I53" s="43">
        <f t="shared" si="1"/>
        <v>214.16</v>
      </c>
      <c r="J53" s="42">
        <v>2</v>
      </c>
      <c r="K53" s="99">
        <v>120</v>
      </c>
      <c r="L53" s="100">
        <v>0.1</v>
      </c>
      <c r="M53" s="101">
        <v>0.1</v>
      </c>
      <c r="N53" s="98">
        <f t="shared" si="2"/>
        <v>21.41</v>
      </c>
      <c r="O53" s="98">
        <f t="shared" si="3"/>
        <v>192.75</v>
      </c>
      <c r="P53" s="98">
        <f t="shared" si="4"/>
        <v>10.7</v>
      </c>
    </row>
    <row r="54" spans="1:16" ht="24.75" customHeight="1" x14ac:dyDescent="0.3">
      <c r="A54" s="1">
        <v>18</v>
      </c>
      <c r="B54" s="94" t="s">
        <v>489</v>
      </c>
      <c r="C54" s="42" t="s">
        <v>465</v>
      </c>
      <c r="D54" s="42">
        <v>2</v>
      </c>
      <c r="E54" s="201">
        <v>223.01</v>
      </c>
      <c r="F54" s="98">
        <f>TRUNC((E54*'Salários.VA.VT.QteDias.LDI.T'!$G$48),2)</f>
        <v>22.97</v>
      </c>
      <c r="G54" s="98">
        <f>TRUNC((((E54+F54)/(1-'Salários.VA.VT.QteDias.LDI.T'!$G$56))*'Salários.VA.VT.QteDias.LDI.T'!$G$56),2)</f>
        <v>23.29</v>
      </c>
      <c r="H54" s="98">
        <f t="shared" si="0"/>
        <v>269.27</v>
      </c>
      <c r="I54" s="43">
        <f t="shared" si="1"/>
        <v>538.54</v>
      </c>
      <c r="J54" s="42">
        <v>2</v>
      </c>
      <c r="K54" s="99">
        <v>120</v>
      </c>
      <c r="L54" s="100">
        <v>0.1</v>
      </c>
      <c r="M54" s="101">
        <v>0.1</v>
      </c>
      <c r="N54" s="98">
        <f t="shared" si="2"/>
        <v>53.85</v>
      </c>
      <c r="O54" s="98">
        <f t="shared" si="3"/>
        <v>484.69</v>
      </c>
      <c r="P54" s="98">
        <f t="shared" si="4"/>
        <v>26.92</v>
      </c>
    </row>
    <row r="55" spans="1:16" ht="24.75" customHeight="1" x14ac:dyDescent="0.3">
      <c r="A55" s="1">
        <v>19</v>
      </c>
      <c r="B55" s="94" t="s">
        <v>490</v>
      </c>
      <c r="C55" s="42" t="s">
        <v>465</v>
      </c>
      <c r="D55" s="42">
        <v>2</v>
      </c>
      <c r="E55" s="201">
        <v>586.53</v>
      </c>
      <c r="F55" s="98">
        <f>TRUNC((E55*'Salários.VA.VT.QteDias.LDI.T'!$G$48),2)</f>
        <v>60.41</v>
      </c>
      <c r="G55" s="98">
        <f>TRUNC((((E55+F55)/(1-'Salários.VA.VT.QteDias.LDI.T'!$G$56))*'Salários.VA.VT.QteDias.LDI.T'!$G$56),2)</f>
        <v>61.25</v>
      </c>
      <c r="H55" s="98">
        <f t="shared" si="0"/>
        <v>708.19</v>
      </c>
      <c r="I55" s="43">
        <f t="shared" si="1"/>
        <v>1416.38</v>
      </c>
      <c r="J55" s="42">
        <v>2</v>
      </c>
      <c r="K55" s="99">
        <v>120</v>
      </c>
      <c r="L55" s="100">
        <v>0.1</v>
      </c>
      <c r="M55" s="101">
        <v>0.1</v>
      </c>
      <c r="N55" s="98">
        <f t="shared" si="2"/>
        <v>141.63</v>
      </c>
      <c r="O55" s="98">
        <f t="shared" si="3"/>
        <v>1274.75</v>
      </c>
      <c r="P55" s="98">
        <f t="shared" si="4"/>
        <v>70.81</v>
      </c>
    </row>
    <row r="56" spans="1:16" ht="24.75" customHeight="1" x14ac:dyDescent="0.3">
      <c r="A56" s="1">
        <v>20</v>
      </c>
      <c r="B56" s="94" t="s">
        <v>491</v>
      </c>
      <c r="C56" s="42" t="s">
        <v>465</v>
      </c>
      <c r="D56" s="42">
        <v>2</v>
      </c>
      <c r="E56" s="201">
        <v>416.22</v>
      </c>
      <c r="F56" s="98">
        <f>TRUNC((E56*'Salários.VA.VT.QteDias.LDI.T'!$G$48),2)</f>
        <v>42.87</v>
      </c>
      <c r="G56" s="98">
        <f>TRUNC((((E56+F56)/(1-'Salários.VA.VT.QteDias.LDI.T'!$G$56))*'Salários.VA.VT.QteDias.LDI.T'!$G$56),2)</f>
        <v>43.47</v>
      </c>
      <c r="H56" s="98">
        <f t="shared" si="0"/>
        <v>502.56</v>
      </c>
      <c r="I56" s="43">
        <f t="shared" si="1"/>
        <v>1005.12</v>
      </c>
      <c r="J56" s="42">
        <v>2</v>
      </c>
      <c r="K56" s="99">
        <v>120</v>
      </c>
      <c r="L56" s="100">
        <v>0.1</v>
      </c>
      <c r="M56" s="101">
        <v>0.1</v>
      </c>
      <c r="N56" s="98">
        <f t="shared" si="2"/>
        <v>100.51</v>
      </c>
      <c r="O56" s="98">
        <f t="shared" si="3"/>
        <v>904.61</v>
      </c>
      <c r="P56" s="98">
        <f t="shared" si="4"/>
        <v>50.25</v>
      </c>
    </row>
    <row r="57" spans="1:16" ht="24.75" customHeight="1" x14ac:dyDescent="0.3">
      <c r="A57" s="1">
        <v>21</v>
      </c>
      <c r="B57" s="94" t="s">
        <v>492</v>
      </c>
      <c r="C57" s="42" t="s">
        <v>465</v>
      </c>
      <c r="D57" s="42">
        <v>2</v>
      </c>
      <c r="E57" s="201">
        <v>132.24</v>
      </c>
      <c r="F57" s="98">
        <f>TRUNC((E57*'Salários.VA.VT.QteDias.LDI.T'!$G$48),2)</f>
        <v>13.62</v>
      </c>
      <c r="G57" s="98">
        <f>TRUNC((((E57+F57)/(1-'Salários.VA.VT.QteDias.LDI.T'!$G$56))*'Salários.VA.VT.QteDias.LDI.T'!$G$56),2)</f>
        <v>13.81</v>
      </c>
      <c r="H57" s="98">
        <f t="shared" si="0"/>
        <v>159.66999999999999</v>
      </c>
      <c r="I57" s="43">
        <f t="shared" si="1"/>
        <v>319.33999999999997</v>
      </c>
      <c r="J57" s="42">
        <v>2</v>
      </c>
      <c r="K57" s="99">
        <v>120</v>
      </c>
      <c r="L57" s="100">
        <v>0.1</v>
      </c>
      <c r="M57" s="101">
        <v>0.1</v>
      </c>
      <c r="N57" s="98">
        <f t="shared" si="2"/>
        <v>31.93</v>
      </c>
      <c r="O57" s="98">
        <f t="shared" si="3"/>
        <v>287.41000000000003</v>
      </c>
      <c r="P57" s="98">
        <f t="shared" si="4"/>
        <v>15.96</v>
      </c>
    </row>
    <row r="58" spans="1:16" ht="24.75" customHeight="1" x14ac:dyDescent="0.3">
      <c r="A58" s="1">
        <v>22</v>
      </c>
      <c r="B58" s="94" t="s">
        <v>493</v>
      </c>
      <c r="C58" s="42" t="s">
        <v>465</v>
      </c>
      <c r="D58" s="42">
        <v>2</v>
      </c>
      <c r="E58" s="201">
        <v>202.8</v>
      </c>
      <c r="F58" s="98">
        <f>TRUNC((E58*'Salários.VA.VT.QteDias.LDI.T'!$G$48),2)</f>
        <v>20.88</v>
      </c>
      <c r="G58" s="98">
        <f>TRUNC((((E58+F58)/(1-'Salários.VA.VT.QteDias.LDI.T'!$G$56))*'Salários.VA.VT.QteDias.LDI.T'!$G$56),2)</f>
        <v>21.18</v>
      </c>
      <c r="H58" s="98">
        <f t="shared" si="0"/>
        <v>244.86</v>
      </c>
      <c r="I58" s="43">
        <f t="shared" si="1"/>
        <v>489.72</v>
      </c>
      <c r="J58" s="42">
        <v>2</v>
      </c>
      <c r="K58" s="99">
        <v>120</v>
      </c>
      <c r="L58" s="100">
        <v>0.1</v>
      </c>
      <c r="M58" s="101">
        <v>0.1</v>
      </c>
      <c r="N58" s="98">
        <f t="shared" si="2"/>
        <v>48.97</v>
      </c>
      <c r="O58" s="98">
        <f t="shared" si="3"/>
        <v>440.75</v>
      </c>
      <c r="P58" s="98">
        <f t="shared" si="4"/>
        <v>24.48</v>
      </c>
    </row>
    <row r="59" spans="1:16" ht="24.75" customHeight="1" x14ac:dyDescent="0.3">
      <c r="A59" s="1">
        <v>23</v>
      </c>
      <c r="B59" s="94" t="s">
        <v>494</v>
      </c>
      <c r="C59" s="42" t="s">
        <v>465</v>
      </c>
      <c r="D59" s="42">
        <v>2</v>
      </c>
      <c r="E59" s="201">
        <v>479.98</v>
      </c>
      <c r="F59" s="98">
        <f>TRUNC((E59*'Salários.VA.VT.QteDias.LDI.T'!$G$48),2)</f>
        <v>49.43</v>
      </c>
      <c r="G59" s="98">
        <f>TRUNC((((E59+F59)/(1-'Salários.VA.VT.QteDias.LDI.T'!$G$56))*'Salários.VA.VT.QteDias.LDI.T'!$G$56),2)</f>
        <v>50.13</v>
      </c>
      <c r="H59" s="98">
        <f t="shared" si="0"/>
        <v>579.54</v>
      </c>
      <c r="I59" s="43">
        <f t="shared" si="1"/>
        <v>1159.08</v>
      </c>
      <c r="J59" s="42">
        <v>2</v>
      </c>
      <c r="K59" s="99">
        <v>120</v>
      </c>
      <c r="L59" s="100">
        <v>0.1</v>
      </c>
      <c r="M59" s="101">
        <v>0.1</v>
      </c>
      <c r="N59" s="98">
        <f t="shared" si="2"/>
        <v>115.9</v>
      </c>
      <c r="O59" s="98">
        <f t="shared" si="3"/>
        <v>1043.18</v>
      </c>
      <c r="P59" s="98">
        <f t="shared" si="4"/>
        <v>57.95</v>
      </c>
    </row>
    <row r="60" spans="1:16" ht="24.75" customHeight="1" x14ac:dyDescent="0.3">
      <c r="A60" s="1">
        <v>24</v>
      </c>
      <c r="B60" s="94" t="s">
        <v>495</v>
      </c>
      <c r="C60" s="42" t="s">
        <v>465</v>
      </c>
      <c r="D60" s="42">
        <v>2</v>
      </c>
      <c r="E60" s="201">
        <v>374.24</v>
      </c>
      <c r="F60" s="98">
        <f>TRUNC((E60*'Salários.VA.VT.QteDias.LDI.T'!$G$48),2)</f>
        <v>38.54</v>
      </c>
      <c r="G60" s="98">
        <f>TRUNC((((E60+F60)/(1-'Salários.VA.VT.QteDias.LDI.T'!$G$56))*'Salários.VA.VT.QteDias.LDI.T'!$G$56),2)</f>
        <v>39.08</v>
      </c>
      <c r="H60" s="98">
        <f t="shared" si="0"/>
        <v>451.86</v>
      </c>
      <c r="I60" s="43">
        <f t="shared" si="1"/>
        <v>903.72</v>
      </c>
      <c r="J60" s="42">
        <v>2</v>
      </c>
      <c r="K60" s="99">
        <v>120</v>
      </c>
      <c r="L60" s="100">
        <v>0.1</v>
      </c>
      <c r="M60" s="101">
        <v>0.1</v>
      </c>
      <c r="N60" s="98">
        <f t="shared" si="2"/>
        <v>90.37</v>
      </c>
      <c r="O60" s="98">
        <f t="shared" si="3"/>
        <v>813.35</v>
      </c>
      <c r="P60" s="98">
        <f t="shared" si="4"/>
        <v>45.18</v>
      </c>
    </row>
    <row r="61" spans="1:16" ht="24.75" customHeight="1" x14ac:dyDescent="0.3">
      <c r="A61" s="1">
        <v>25</v>
      </c>
      <c r="B61" s="94" t="s">
        <v>496</v>
      </c>
      <c r="C61" s="42" t="s">
        <v>465</v>
      </c>
      <c r="D61" s="42">
        <v>2</v>
      </c>
      <c r="E61" s="201">
        <v>116.07</v>
      </c>
      <c r="F61" s="98">
        <f>TRUNC((E61*'Salários.VA.VT.QteDias.LDI.T'!$G$48),2)</f>
        <v>11.95</v>
      </c>
      <c r="G61" s="98">
        <f>TRUNC((((E61+F61)/(1-'Salários.VA.VT.QteDias.LDI.T'!$G$56))*'Salários.VA.VT.QteDias.LDI.T'!$G$56),2)</f>
        <v>12.12</v>
      </c>
      <c r="H61" s="98">
        <f t="shared" si="0"/>
        <v>140.13999999999999</v>
      </c>
      <c r="I61" s="43">
        <f t="shared" si="1"/>
        <v>280.27999999999997</v>
      </c>
      <c r="J61" s="42">
        <v>2</v>
      </c>
      <c r="K61" s="99">
        <v>120</v>
      </c>
      <c r="L61" s="100">
        <v>0.1</v>
      </c>
      <c r="M61" s="101">
        <v>0.1</v>
      </c>
      <c r="N61" s="98">
        <f t="shared" si="2"/>
        <v>28.02</v>
      </c>
      <c r="O61" s="98">
        <f t="shared" si="3"/>
        <v>252.26</v>
      </c>
      <c r="P61" s="98">
        <f t="shared" si="4"/>
        <v>14.01</v>
      </c>
    </row>
    <row r="62" spans="1:16" ht="24.75" customHeight="1" x14ac:dyDescent="0.3">
      <c r="A62" s="1">
        <v>26</v>
      </c>
      <c r="B62" s="94" t="s">
        <v>497</v>
      </c>
      <c r="C62" s="42" t="s">
        <v>465</v>
      </c>
      <c r="D62" s="42">
        <v>2</v>
      </c>
      <c r="E62" s="201">
        <v>112.15</v>
      </c>
      <c r="F62" s="98">
        <f>TRUNC((E62*'Salários.VA.VT.QteDias.LDI.T'!$G$48),2)</f>
        <v>11.55</v>
      </c>
      <c r="G62" s="98">
        <f>TRUNC((((E62+F62)/(1-'Salários.VA.VT.QteDias.LDI.T'!$G$56))*'Salários.VA.VT.QteDias.LDI.T'!$G$56),2)</f>
        <v>11.71</v>
      </c>
      <c r="H62" s="98">
        <f t="shared" si="0"/>
        <v>135.41</v>
      </c>
      <c r="I62" s="43">
        <f t="shared" si="1"/>
        <v>270.82</v>
      </c>
      <c r="J62" s="42">
        <v>2</v>
      </c>
      <c r="K62" s="99">
        <v>120</v>
      </c>
      <c r="L62" s="100">
        <v>0.1</v>
      </c>
      <c r="M62" s="101">
        <v>0.1</v>
      </c>
      <c r="N62" s="98">
        <f t="shared" si="2"/>
        <v>27.08</v>
      </c>
      <c r="O62" s="98">
        <f t="shared" si="3"/>
        <v>243.74</v>
      </c>
      <c r="P62" s="98">
        <f t="shared" si="4"/>
        <v>13.54</v>
      </c>
    </row>
    <row r="63" spans="1:16" ht="24.75" customHeight="1" x14ac:dyDescent="0.3">
      <c r="A63" s="1">
        <v>27</v>
      </c>
      <c r="B63" s="94" t="s">
        <v>498</v>
      </c>
      <c r="C63" s="42" t="s">
        <v>465</v>
      </c>
      <c r="D63" s="42">
        <v>2</v>
      </c>
      <c r="E63" s="201">
        <v>3952.08</v>
      </c>
      <c r="F63" s="98">
        <f>TRUNC((E63*'Salários.VA.VT.QteDias.LDI.T'!$G$48),2)</f>
        <v>407.06</v>
      </c>
      <c r="G63" s="98">
        <f>TRUNC((((E63+F63)/(1-'Salários.VA.VT.QteDias.LDI.T'!$G$56))*'Salários.VA.VT.QteDias.LDI.T'!$G$56),2)</f>
        <v>412.77</v>
      </c>
      <c r="H63" s="98">
        <f t="shared" si="0"/>
        <v>4771.91</v>
      </c>
      <c r="I63" s="43">
        <f t="shared" si="1"/>
        <v>9543.82</v>
      </c>
      <c r="J63" s="42">
        <v>2</v>
      </c>
      <c r="K63" s="99">
        <v>120</v>
      </c>
      <c r="L63" s="100">
        <v>0.1</v>
      </c>
      <c r="M63" s="101">
        <v>0.1</v>
      </c>
      <c r="N63" s="98">
        <f t="shared" si="2"/>
        <v>954.38</v>
      </c>
      <c r="O63" s="98">
        <f t="shared" si="3"/>
        <v>8589.44</v>
      </c>
      <c r="P63" s="98">
        <f t="shared" si="4"/>
        <v>477.19</v>
      </c>
    </row>
    <row r="64" spans="1:16" ht="24.75" customHeight="1" x14ac:dyDescent="0.3">
      <c r="A64" s="1">
        <v>28</v>
      </c>
      <c r="B64" s="94" t="s">
        <v>499</v>
      </c>
      <c r="C64" s="42" t="s">
        <v>465</v>
      </c>
      <c r="D64" s="42">
        <v>2</v>
      </c>
      <c r="E64" s="201">
        <v>42.7</v>
      </c>
      <c r="F64" s="98">
        <f>TRUNC((E64*'Salários.VA.VT.QteDias.LDI.T'!$G$48),2)</f>
        <v>4.3899999999999997</v>
      </c>
      <c r="G64" s="98">
        <f>TRUNC((((E64+F64)/(1-'Salários.VA.VT.QteDias.LDI.T'!$G$56))*'Salários.VA.VT.QteDias.LDI.T'!$G$56),2)</f>
        <v>4.45</v>
      </c>
      <c r="H64" s="98">
        <f t="shared" si="0"/>
        <v>51.54</v>
      </c>
      <c r="I64" s="43">
        <f t="shared" si="1"/>
        <v>103.08</v>
      </c>
      <c r="J64" s="42">
        <v>2</v>
      </c>
      <c r="K64" s="99">
        <v>120</v>
      </c>
      <c r="L64" s="100">
        <v>0.1</v>
      </c>
      <c r="M64" s="101">
        <v>0.1</v>
      </c>
      <c r="N64" s="98">
        <f t="shared" si="2"/>
        <v>10.3</v>
      </c>
      <c r="O64" s="98">
        <f t="shared" si="3"/>
        <v>92.78</v>
      </c>
      <c r="P64" s="98">
        <f t="shared" si="4"/>
        <v>5.15</v>
      </c>
    </row>
    <row r="65" spans="1:16" ht="24.75" customHeight="1" x14ac:dyDescent="0.3">
      <c r="A65" s="1">
        <v>29</v>
      </c>
      <c r="B65" s="94" t="s">
        <v>500</v>
      </c>
      <c r="C65" s="42" t="s">
        <v>465</v>
      </c>
      <c r="D65" s="42">
        <v>2</v>
      </c>
      <c r="E65" s="201">
        <v>91.97</v>
      </c>
      <c r="F65" s="98">
        <f>TRUNC((E65*'Salários.VA.VT.QteDias.LDI.T'!$G$48),2)</f>
        <v>9.4700000000000006</v>
      </c>
      <c r="G65" s="98">
        <f>TRUNC((((E65+F65)/(1-'Salários.VA.VT.QteDias.LDI.T'!$G$56))*'Salários.VA.VT.QteDias.LDI.T'!$G$56),2)</f>
        <v>9.6</v>
      </c>
      <c r="H65" s="98">
        <f t="shared" si="0"/>
        <v>111.04</v>
      </c>
      <c r="I65" s="43">
        <f t="shared" si="1"/>
        <v>222.08</v>
      </c>
      <c r="J65" s="42">
        <v>2</v>
      </c>
      <c r="K65" s="99">
        <v>120</v>
      </c>
      <c r="L65" s="100">
        <v>0.1</v>
      </c>
      <c r="M65" s="101">
        <v>0.1</v>
      </c>
      <c r="N65" s="98">
        <f t="shared" si="2"/>
        <v>22.2</v>
      </c>
      <c r="O65" s="98">
        <f t="shared" si="3"/>
        <v>199.88</v>
      </c>
      <c r="P65" s="98">
        <f t="shared" si="4"/>
        <v>11.1</v>
      </c>
    </row>
    <row r="66" spans="1:16" ht="16.5" customHeight="1" x14ac:dyDescent="0.3">
      <c r="A66" s="222" t="s">
        <v>91</v>
      </c>
      <c r="B66" s="222"/>
      <c r="C66" s="222"/>
      <c r="D66" s="222"/>
      <c r="E66" s="222"/>
      <c r="F66" s="222"/>
      <c r="G66" s="222"/>
      <c r="H66" s="222"/>
      <c r="I66" s="222"/>
      <c r="J66" s="222"/>
      <c r="K66" s="222"/>
      <c r="L66" s="222"/>
      <c r="M66" s="222"/>
      <c r="N66" s="222"/>
      <c r="O66" s="222"/>
      <c r="P66" s="203">
        <f>TRUNC(SUM(P37:P65),2)</f>
        <v>3679.86</v>
      </c>
    </row>
    <row r="67" spans="1:16" x14ac:dyDescent="0.3">
      <c r="A67" s="105"/>
      <c r="B67" s="105"/>
      <c r="C67" s="105"/>
      <c r="D67" s="105"/>
      <c r="E67" s="105"/>
      <c r="F67" s="105"/>
      <c r="G67" s="105"/>
      <c r="H67" s="105"/>
      <c r="I67" s="105"/>
      <c r="J67" s="105"/>
      <c r="K67" s="105"/>
      <c r="L67" s="105"/>
      <c r="M67" s="105"/>
      <c r="N67" s="105"/>
      <c r="O67" s="105"/>
      <c r="P67" s="105"/>
    </row>
    <row r="68" spans="1:16" x14ac:dyDescent="0.3">
      <c r="A68" s="105"/>
      <c r="B68" s="105"/>
      <c r="C68" s="105"/>
      <c r="D68" s="105"/>
      <c r="E68" s="105"/>
      <c r="F68" s="105"/>
      <c r="G68" s="105"/>
      <c r="H68" s="105"/>
      <c r="I68" s="105"/>
      <c r="J68" s="105"/>
      <c r="K68" s="105"/>
      <c r="L68" s="105"/>
      <c r="M68" s="105"/>
      <c r="N68" s="105"/>
      <c r="O68" s="105"/>
      <c r="P68" s="105"/>
    </row>
  </sheetData>
  <sheetProtection sheet="1" objects="1" scenarios="1"/>
  <protectedRanges>
    <protectedRange sqref="E16 E6" name="Intervalo3"/>
    <protectedRange sqref="E37:E65" name="Intervalo1"/>
    <protectedRange sqref="E26:E27" name="Intervalo2"/>
  </protectedRanges>
  <mergeCells count="20">
    <mergeCell ref="A32:P32"/>
    <mergeCell ref="A33:P33"/>
    <mergeCell ref="A34:P34"/>
    <mergeCell ref="A35:P35"/>
    <mergeCell ref="A66:O66"/>
    <mergeCell ref="A21:P21"/>
    <mergeCell ref="A22:P22"/>
    <mergeCell ref="A23:P23"/>
    <mergeCell ref="A24:P24"/>
    <mergeCell ref="A28:O28"/>
    <mergeCell ref="A11:P11"/>
    <mergeCell ref="A12:P12"/>
    <mergeCell ref="A13:P13"/>
    <mergeCell ref="A14:P14"/>
    <mergeCell ref="A17:O17"/>
    <mergeCell ref="A1:P1"/>
    <mergeCell ref="A2:P2"/>
    <mergeCell ref="A3:P3"/>
    <mergeCell ref="A4:P4"/>
    <mergeCell ref="A7:O7"/>
  </mergeCells>
  <hyperlinks>
    <hyperlink ref="A4" r:id="rId1" xr:uid="{00000000-0004-0000-0D00-000000000000}"/>
    <hyperlink ref="A14" r:id="rId2" xr:uid="{00000000-0004-0000-0D00-000001000000}"/>
    <hyperlink ref="A24" r:id="rId3" xr:uid="{00000000-0004-0000-0D00-000002000000}"/>
    <hyperlink ref="A35" r:id="rId4" xr:uid="{00000000-0004-0000-0D00-000003000000}"/>
  </hyperlinks>
  <pageMargins left="0.7" right="0.7" top="0.75" bottom="0.75" header="0.511811023622047" footer="0.511811023622047"/>
  <pageSetup paperSize="9" orientation="portrait" horizontalDpi="300" verticalDpi="300"/>
  <legacy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1"/>
  <sheetViews>
    <sheetView zoomScale="110" zoomScaleNormal="110" workbookViewId="0">
      <selection activeCell="C4" sqref="C4"/>
    </sheetView>
  </sheetViews>
  <sheetFormatPr defaultColWidth="8.6640625" defaultRowHeight="14.4" x14ac:dyDescent="0.3"/>
  <cols>
    <col min="2" max="2" width="44.44140625" customWidth="1"/>
    <col min="3" max="3" width="13" customWidth="1"/>
    <col min="4" max="4" width="14.88671875" customWidth="1"/>
    <col min="5" max="5" width="16.44140625" customWidth="1"/>
  </cols>
  <sheetData>
    <row r="1" spans="1:5" ht="16.5" customHeight="1" x14ac:dyDescent="0.3">
      <c r="A1" s="264" t="s">
        <v>501</v>
      </c>
      <c r="B1" s="264"/>
      <c r="C1" s="264"/>
      <c r="D1" s="264"/>
      <c r="E1" s="264"/>
    </row>
    <row r="2" spans="1:5" x14ac:dyDescent="0.3">
      <c r="A2" s="1" t="s">
        <v>1</v>
      </c>
      <c r="B2" s="1" t="s">
        <v>502</v>
      </c>
      <c r="C2" s="1" t="s">
        <v>128</v>
      </c>
      <c r="D2" s="1" t="s">
        <v>100</v>
      </c>
      <c r="E2" s="1" t="s">
        <v>106</v>
      </c>
    </row>
    <row r="3" spans="1:5" x14ac:dyDescent="0.3">
      <c r="A3" s="42">
        <v>1</v>
      </c>
      <c r="B3" s="65" t="s">
        <v>503</v>
      </c>
      <c r="C3" s="201">
        <v>41.98</v>
      </c>
      <c r="D3" s="42">
        <v>5</v>
      </c>
      <c r="E3" s="43">
        <f>C3*D3</f>
        <v>209.89999999999998</v>
      </c>
    </row>
    <row r="4" spans="1:5" x14ac:dyDescent="0.3">
      <c r="A4" s="42">
        <v>2</v>
      </c>
      <c r="B4" s="65" t="s">
        <v>504</v>
      </c>
      <c r="C4" s="201">
        <v>20.87</v>
      </c>
      <c r="D4" s="42">
        <v>5</v>
      </c>
      <c r="E4" s="43">
        <f>C4*D4</f>
        <v>104.35000000000001</v>
      </c>
    </row>
    <row r="5" spans="1:5" ht="19.5" customHeight="1" x14ac:dyDescent="0.3">
      <c r="A5" s="42"/>
      <c r="B5" s="42"/>
      <c r="C5" s="42"/>
      <c r="D5" s="42"/>
      <c r="E5" s="42"/>
    </row>
    <row r="6" spans="1:5" x14ac:dyDescent="0.3">
      <c r="A6" s="1" t="s">
        <v>91</v>
      </c>
      <c r="B6" s="42"/>
      <c r="C6" s="98">
        <f>SUM(C3:C4)</f>
        <v>62.849999999999994</v>
      </c>
      <c r="D6" s="42"/>
      <c r="E6" s="98">
        <f>SUM(E3:E4)</f>
        <v>314.25</v>
      </c>
    </row>
    <row r="7" spans="1:5" x14ac:dyDescent="0.3">
      <c r="A7" s="51"/>
      <c r="B7" s="51"/>
      <c r="C7" s="72"/>
      <c r="D7" s="51"/>
      <c r="E7" s="51"/>
    </row>
    <row r="8" spans="1:5" x14ac:dyDescent="0.3">
      <c r="A8" s="51"/>
      <c r="B8" s="51"/>
      <c r="C8" s="266" t="s">
        <v>149</v>
      </c>
      <c r="D8" s="266"/>
      <c r="E8" s="106">
        <f>TRUNC((E6/12),2)</f>
        <v>26.18</v>
      </c>
    </row>
    <row r="9" spans="1:5" ht="16.5" customHeight="1" x14ac:dyDescent="0.3">
      <c r="A9" s="51"/>
      <c r="B9" s="224" t="s">
        <v>505</v>
      </c>
      <c r="C9" s="224"/>
      <c r="D9" s="224"/>
      <c r="E9" s="49">
        <f>TRUNC((E8/5),2)</f>
        <v>5.23</v>
      </c>
    </row>
    <row r="10" spans="1:5" x14ac:dyDescent="0.3">
      <c r="A10" s="32"/>
      <c r="B10" s="32"/>
      <c r="C10" s="32"/>
      <c r="D10" s="32"/>
      <c r="E10" s="32"/>
    </row>
    <row r="11" spans="1:5" x14ac:dyDescent="0.3">
      <c r="A11" s="32"/>
      <c r="B11" s="32"/>
      <c r="C11" s="32"/>
      <c r="D11" s="32"/>
      <c r="E11" s="32"/>
    </row>
  </sheetData>
  <sheetProtection sheet="1" objects="1" scenarios="1"/>
  <protectedRanges>
    <protectedRange sqref="C3:C4" name="Intervalo1"/>
  </protectedRanges>
  <mergeCells count="3">
    <mergeCell ref="A1:E1"/>
    <mergeCell ref="C8:D8"/>
    <mergeCell ref="B9:D9"/>
  </mergeCells>
  <pageMargins left="0.7" right="0.7" top="0.75" bottom="0.75" header="0.511811023622047" footer="0.511811023622047"/>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4"/>
  <sheetViews>
    <sheetView zoomScaleNormal="100" workbookViewId="0">
      <selection activeCell="C3" sqref="C3"/>
    </sheetView>
  </sheetViews>
  <sheetFormatPr defaultColWidth="8.6640625" defaultRowHeight="14.4" x14ac:dyDescent="0.3"/>
  <cols>
    <col min="2" max="2" width="53.5546875" customWidth="1"/>
    <col min="3" max="3" width="17.109375" customWidth="1"/>
    <col min="4" max="4" width="18.109375" customWidth="1"/>
    <col min="5" max="5" width="18" customWidth="1"/>
  </cols>
  <sheetData>
    <row r="1" spans="1:5" ht="19.5" customHeight="1" x14ac:dyDescent="0.3">
      <c r="A1" s="264" t="s">
        <v>506</v>
      </c>
      <c r="B1" s="264"/>
      <c r="C1" s="264"/>
      <c r="D1" s="264"/>
      <c r="E1" s="264"/>
    </row>
    <row r="2" spans="1:5" ht="19.5" customHeight="1" x14ac:dyDescent="0.3">
      <c r="A2" s="1" t="s">
        <v>1</v>
      </c>
      <c r="B2" s="1" t="s">
        <v>502</v>
      </c>
      <c r="C2" s="1" t="s">
        <v>128</v>
      </c>
      <c r="D2" s="1" t="s">
        <v>100</v>
      </c>
      <c r="E2" s="1" t="s">
        <v>106</v>
      </c>
    </row>
    <row r="3" spans="1:5" ht="19.5" customHeight="1" x14ac:dyDescent="0.3">
      <c r="A3" s="42">
        <v>1</v>
      </c>
      <c r="B3" s="65" t="s">
        <v>507</v>
      </c>
      <c r="C3" s="204">
        <v>37.81</v>
      </c>
      <c r="D3" s="54">
        <v>4</v>
      </c>
      <c r="E3" s="43">
        <f t="shared" ref="E3:E8" si="0">C3*D3</f>
        <v>151.24</v>
      </c>
    </row>
    <row r="4" spans="1:5" ht="19.5" customHeight="1" x14ac:dyDescent="0.3">
      <c r="A4" s="42">
        <v>2</v>
      </c>
      <c r="B4" s="65" t="s">
        <v>508</v>
      </c>
      <c r="C4" s="204">
        <v>12.27</v>
      </c>
      <c r="D4" s="54">
        <v>6</v>
      </c>
      <c r="E4" s="43">
        <f t="shared" si="0"/>
        <v>73.62</v>
      </c>
    </row>
    <row r="5" spans="1:5" ht="19.5" customHeight="1" x14ac:dyDescent="0.3">
      <c r="A5" s="42">
        <v>3</v>
      </c>
      <c r="B5" s="65" t="s">
        <v>509</v>
      </c>
      <c r="C5" s="204">
        <v>31.92</v>
      </c>
      <c r="D5" s="54">
        <v>24</v>
      </c>
      <c r="E5" s="43">
        <f t="shared" si="0"/>
        <v>766.08</v>
      </c>
    </row>
    <row r="6" spans="1:5" ht="19.5" customHeight="1" x14ac:dyDescent="0.3">
      <c r="A6" s="42">
        <v>4</v>
      </c>
      <c r="B6" s="65" t="s">
        <v>510</v>
      </c>
      <c r="C6" s="204">
        <v>4.59</v>
      </c>
      <c r="D6" s="54">
        <v>4</v>
      </c>
      <c r="E6" s="43">
        <f t="shared" si="0"/>
        <v>18.36</v>
      </c>
    </row>
    <row r="7" spans="1:5" ht="19.5" customHeight="1" x14ac:dyDescent="0.3">
      <c r="A7" s="42">
        <v>5</v>
      </c>
      <c r="B7" s="65" t="s">
        <v>511</v>
      </c>
      <c r="C7" s="204">
        <v>3.33</v>
      </c>
      <c r="D7" s="54">
        <v>4</v>
      </c>
      <c r="E7" s="43">
        <f t="shared" si="0"/>
        <v>13.32</v>
      </c>
    </row>
    <row r="8" spans="1:5" ht="19.5" customHeight="1" x14ac:dyDescent="0.3">
      <c r="A8" s="42">
        <v>6</v>
      </c>
      <c r="B8" s="65" t="s">
        <v>512</v>
      </c>
      <c r="C8" s="204">
        <v>6.59</v>
      </c>
      <c r="D8" s="42">
        <v>24</v>
      </c>
      <c r="E8" s="43">
        <f t="shared" si="0"/>
        <v>158.16</v>
      </c>
    </row>
    <row r="9" spans="1:5" ht="19.5" customHeight="1" x14ac:dyDescent="0.3">
      <c r="A9" s="42"/>
      <c r="B9" s="42"/>
      <c r="C9" s="42"/>
      <c r="D9" s="42"/>
      <c r="E9" s="42"/>
    </row>
    <row r="10" spans="1:5" ht="19.5" customHeight="1" x14ac:dyDescent="0.3">
      <c r="A10" s="1" t="s">
        <v>91</v>
      </c>
      <c r="B10" s="42"/>
      <c r="C10" s="98">
        <f>SUM(C3:C8)</f>
        <v>96.51</v>
      </c>
      <c r="D10" s="42"/>
      <c r="E10" s="98">
        <f>SUM(E3:E8)</f>
        <v>1180.7800000000002</v>
      </c>
    </row>
    <row r="11" spans="1:5" ht="19.5" customHeight="1" x14ac:dyDescent="0.3">
      <c r="A11" s="51"/>
      <c r="B11" s="51"/>
      <c r="C11" s="51"/>
      <c r="D11" s="51"/>
      <c r="E11" s="51"/>
    </row>
    <row r="12" spans="1:5" ht="19.5" customHeight="1" x14ac:dyDescent="0.3">
      <c r="A12" s="51"/>
      <c r="B12" s="51"/>
      <c r="C12" s="267" t="s">
        <v>513</v>
      </c>
      <c r="D12" s="267"/>
      <c r="E12" s="107">
        <f>TRUNC((E10/12),2)</f>
        <v>98.39</v>
      </c>
    </row>
    <row r="13" spans="1:5" x14ac:dyDescent="0.3">
      <c r="A13" s="108"/>
      <c r="B13" s="108"/>
      <c r="C13" s="268" t="s">
        <v>449</v>
      </c>
      <c r="D13" s="268"/>
      <c r="E13" s="109">
        <f>TRUNC((E12/2),2)</f>
        <v>49.19</v>
      </c>
    </row>
    <row r="14" spans="1:5" x14ac:dyDescent="0.3">
      <c r="A14" s="32"/>
      <c r="B14" s="32"/>
      <c r="C14" s="32"/>
      <c r="D14" s="32"/>
      <c r="E14" s="32"/>
    </row>
  </sheetData>
  <sheetProtection sheet="1" objects="1" scenarios="1"/>
  <protectedRanges>
    <protectedRange sqref="C3:C8" name="Intervalo1"/>
  </protectedRanges>
  <mergeCells count="3">
    <mergeCell ref="A1:E1"/>
    <mergeCell ref="C12:D12"/>
    <mergeCell ref="C13:D13"/>
  </mergeCells>
  <pageMargins left="0.51180555555555596" right="0.51180555555555596" top="0.78749999999999998" bottom="0.78749999999999998" header="0.511811023622047" footer="0.511811023622047"/>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6"/>
  <sheetViews>
    <sheetView zoomScale="110" zoomScaleNormal="110" workbookViewId="0">
      <selection activeCell="C3" sqref="C3"/>
    </sheetView>
  </sheetViews>
  <sheetFormatPr defaultColWidth="8.6640625" defaultRowHeight="14.4" x14ac:dyDescent="0.3"/>
  <cols>
    <col min="2" max="2" width="51.33203125" customWidth="1"/>
    <col min="3" max="3" width="20" customWidth="1"/>
    <col min="4" max="4" width="20.33203125" customWidth="1"/>
    <col min="5" max="5" width="20.44140625" customWidth="1"/>
  </cols>
  <sheetData>
    <row r="1" spans="1:5" ht="16.5" customHeight="1" x14ac:dyDescent="0.3">
      <c r="A1" s="264" t="s">
        <v>514</v>
      </c>
      <c r="B1" s="264"/>
      <c r="C1" s="264"/>
      <c r="D1" s="264"/>
      <c r="E1" s="264"/>
    </row>
    <row r="2" spans="1:5" x14ac:dyDescent="0.3">
      <c r="A2" s="1" t="s">
        <v>1</v>
      </c>
      <c r="B2" s="1" t="s">
        <v>502</v>
      </c>
      <c r="C2" s="1" t="s">
        <v>128</v>
      </c>
      <c r="D2" s="1" t="s">
        <v>100</v>
      </c>
      <c r="E2" s="1" t="s">
        <v>106</v>
      </c>
    </row>
    <row r="3" spans="1:5" x14ac:dyDescent="0.3">
      <c r="A3" s="42">
        <v>1</v>
      </c>
      <c r="B3" s="94" t="s">
        <v>515</v>
      </c>
      <c r="C3" s="201">
        <v>28</v>
      </c>
      <c r="D3" s="54">
        <v>2</v>
      </c>
      <c r="E3" s="43">
        <f>C3*D3</f>
        <v>56</v>
      </c>
    </row>
    <row r="4" spans="1:5" x14ac:dyDescent="0.3">
      <c r="A4" s="42">
        <v>2</v>
      </c>
      <c r="B4" s="94" t="s">
        <v>516</v>
      </c>
      <c r="C4" s="201">
        <v>27.05</v>
      </c>
      <c r="D4" s="54">
        <v>12</v>
      </c>
      <c r="E4" s="43">
        <f>C4*D4</f>
        <v>324.60000000000002</v>
      </c>
    </row>
    <row r="5" spans="1:5" x14ac:dyDescent="0.3">
      <c r="A5" s="42">
        <v>3</v>
      </c>
      <c r="B5" s="94" t="s">
        <v>517</v>
      </c>
      <c r="C5" s="201">
        <v>46.03</v>
      </c>
      <c r="D5" s="54">
        <v>12</v>
      </c>
      <c r="E5" s="43">
        <f>C5*D5</f>
        <v>552.36</v>
      </c>
    </row>
    <row r="6" spans="1:5" ht="19.5" customHeight="1" x14ac:dyDescent="0.3">
      <c r="A6" s="42">
        <v>4</v>
      </c>
      <c r="B6" s="94" t="s">
        <v>518</v>
      </c>
      <c r="C6" s="201">
        <v>8.14</v>
      </c>
      <c r="D6" s="54">
        <v>3</v>
      </c>
      <c r="E6" s="43">
        <f>C6*D6</f>
        <v>24.42</v>
      </c>
    </row>
    <row r="7" spans="1:5" x14ac:dyDescent="0.3">
      <c r="A7" s="42">
        <v>5</v>
      </c>
      <c r="B7" s="94" t="s">
        <v>519</v>
      </c>
      <c r="C7" s="201">
        <v>5.97</v>
      </c>
      <c r="D7" s="54">
        <v>2</v>
      </c>
      <c r="E7" s="43">
        <f>C7*D7</f>
        <v>11.94</v>
      </c>
    </row>
    <row r="8" spans="1:5" x14ac:dyDescent="0.3">
      <c r="A8" s="42"/>
      <c r="B8" s="65"/>
      <c r="C8" s="98"/>
      <c r="D8" s="42"/>
      <c r="E8" s="43"/>
    </row>
    <row r="9" spans="1:5" x14ac:dyDescent="0.3">
      <c r="A9" s="42"/>
      <c r="B9" s="42"/>
      <c r="C9" s="42"/>
      <c r="D9" s="42"/>
      <c r="E9" s="42"/>
    </row>
    <row r="10" spans="1:5" x14ac:dyDescent="0.3">
      <c r="A10" s="1" t="s">
        <v>91</v>
      </c>
      <c r="B10" s="42"/>
      <c r="C10" s="98">
        <f>SUM(C3:C7)</f>
        <v>115.19</v>
      </c>
      <c r="D10" s="42"/>
      <c r="E10" s="98">
        <f>SUM(E3:E7)</f>
        <v>969.32</v>
      </c>
    </row>
    <row r="11" spans="1:5" x14ac:dyDescent="0.3">
      <c r="A11" s="51"/>
      <c r="B11" s="51"/>
      <c r="C11" s="51"/>
      <c r="D11" s="51"/>
      <c r="E11" s="51"/>
    </row>
    <row r="12" spans="1:5" x14ac:dyDescent="0.3">
      <c r="A12" s="51"/>
      <c r="B12" s="51"/>
      <c r="C12" s="253" t="s">
        <v>149</v>
      </c>
      <c r="D12" s="253"/>
      <c r="E12" s="199">
        <f>TRUNC((E10/12),2)</f>
        <v>80.77</v>
      </c>
    </row>
    <row r="13" spans="1:5" x14ac:dyDescent="0.3">
      <c r="A13" s="32"/>
      <c r="B13" s="32"/>
      <c r="C13" s="32"/>
      <c r="D13" s="32"/>
      <c r="E13" s="32"/>
    </row>
    <row r="14" spans="1:5" x14ac:dyDescent="0.3">
      <c r="A14" s="32"/>
      <c r="B14" s="32"/>
      <c r="C14" s="32"/>
      <c r="D14" s="32"/>
      <c r="E14" s="32"/>
    </row>
    <row r="15" spans="1:5" x14ac:dyDescent="0.3">
      <c r="A15" s="32"/>
      <c r="B15" s="32"/>
      <c r="C15" s="32"/>
      <c r="D15" s="32"/>
      <c r="E15" s="32"/>
    </row>
    <row r="16" spans="1:5" x14ac:dyDescent="0.3">
      <c r="A16" s="32"/>
      <c r="B16" s="32"/>
      <c r="C16" s="32"/>
      <c r="D16" s="32"/>
      <c r="E16" s="32"/>
    </row>
  </sheetData>
  <sheetProtection sheet="1" objects="1" scenarios="1"/>
  <protectedRanges>
    <protectedRange sqref="C3:C7" name="Intervalo1"/>
  </protectedRanges>
  <mergeCells count="2">
    <mergeCell ref="A1:E1"/>
    <mergeCell ref="C12:D1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72"/>
  <sheetViews>
    <sheetView zoomScale="130" zoomScaleNormal="130" workbookViewId="0">
      <selection activeCell="A2" sqref="A2:F2"/>
    </sheetView>
  </sheetViews>
  <sheetFormatPr defaultColWidth="8.6640625" defaultRowHeight="14.4" x14ac:dyDescent="0.3"/>
  <cols>
    <col min="1" max="1" width="14.109375" customWidth="1"/>
    <col min="2" max="2" width="36.5546875" customWidth="1"/>
    <col min="3" max="4" width="18.44140625" customWidth="1"/>
    <col min="5" max="5" width="20.5546875" customWidth="1"/>
    <col min="6" max="6" width="18.5546875" customWidth="1"/>
  </cols>
  <sheetData>
    <row r="1" spans="1:9" ht="131.25" customHeight="1" x14ac:dyDescent="0.3">
      <c r="A1" s="222"/>
      <c r="B1" s="222"/>
      <c r="C1" s="222"/>
      <c r="D1" s="222"/>
      <c r="E1" s="222"/>
      <c r="F1" s="222"/>
      <c r="I1" s="172"/>
    </row>
    <row r="2" spans="1:9" ht="16.5" customHeight="1" x14ac:dyDescent="0.3">
      <c r="A2" s="223" t="s">
        <v>687</v>
      </c>
      <c r="B2" s="223"/>
      <c r="C2" s="223"/>
      <c r="D2" s="223"/>
      <c r="E2" s="223"/>
      <c r="F2" s="223"/>
    </row>
    <row r="3" spans="1:9" ht="16.5" customHeight="1" x14ac:dyDescent="0.3">
      <c r="A3" s="224" t="s">
        <v>688</v>
      </c>
      <c r="B3" s="224"/>
      <c r="C3" s="224"/>
      <c r="D3" s="224"/>
      <c r="E3" s="224"/>
      <c r="F3" s="224"/>
    </row>
    <row r="4" spans="1:9" ht="16.5" customHeight="1" x14ac:dyDescent="0.3">
      <c r="A4" s="223" t="s">
        <v>689</v>
      </c>
      <c r="B4" s="223"/>
      <c r="C4" s="223"/>
      <c r="D4" s="223"/>
      <c r="E4" s="223"/>
      <c r="F4" s="223"/>
    </row>
    <row r="5" spans="1:9" ht="16.5" customHeight="1" x14ac:dyDescent="0.3">
      <c r="A5" s="224" t="s">
        <v>690</v>
      </c>
      <c r="B5" s="224"/>
      <c r="C5" s="224"/>
      <c r="D5" s="224"/>
      <c r="E5" s="224"/>
      <c r="F5" s="224"/>
    </row>
    <row r="6" spans="1:9" ht="54.75" customHeight="1" x14ac:dyDescent="0.3">
      <c r="A6" s="225" t="s">
        <v>691</v>
      </c>
      <c r="B6" s="225"/>
      <c r="C6" s="225"/>
      <c r="D6" s="225"/>
      <c r="E6" s="225"/>
      <c r="F6" s="225"/>
    </row>
    <row r="7" spans="1:9" x14ac:dyDescent="0.3">
      <c r="A7" s="222"/>
      <c r="B7" s="222"/>
      <c r="C7" s="222"/>
      <c r="D7" s="222"/>
      <c r="E7" s="222"/>
      <c r="F7" s="222"/>
    </row>
    <row r="8" spans="1:9" ht="16.5" customHeight="1" x14ac:dyDescent="0.3">
      <c r="A8" s="223" t="s">
        <v>692</v>
      </c>
      <c r="B8" s="223"/>
      <c r="C8" s="223"/>
      <c r="D8" s="223"/>
      <c r="E8" s="223"/>
      <c r="F8" s="223"/>
    </row>
    <row r="9" spans="1:9" ht="16.5" customHeight="1" x14ac:dyDescent="0.3">
      <c r="A9" s="226" t="s">
        <v>693</v>
      </c>
      <c r="B9" s="226"/>
      <c r="C9" s="226"/>
      <c r="D9" s="226"/>
      <c r="E9" s="226"/>
      <c r="F9" s="226"/>
    </row>
    <row r="10" spans="1:9" ht="16.5" customHeight="1" x14ac:dyDescent="0.3">
      <c r="A10" s="227" t="s">
        <v>694</v>
      </c>
      <c r="B10" s="227"/>
      <c r="C10" s="227"/>
      <c r="D10" s="227"/>
      <c r="E10" s="227"/>
      <c r="F10" s="227"/>
    </row>
    <row r="11" spans="1:9" ht="16.5" customHeight="1" x14ac:dyDescent="0.3">
      <c r="A11" s="226" t="s">
        <v>695</v>
      </c>
      <c r="B11" s="226"/>
      <c r="C11" s="226"/>
      <c r="D11" s="226"/>
      <c r="E11" s="226"/>
      <c r="F11" s="226"/>
    </row>
    <row r="12" spans="1:9" ht="16.5" customHeight="1" x14ac:dyDescent="0.3">
      <c r="A12" s="228" t="s">
        <v>696</v>
      </c>
      <c r="B12" s="228"/>
      <c r="C12" s="227"/>
      <c r="D12" s="227"/>
      <c r="E12" s="227"/>
      <c r="F12" s="227"/>
    </row>
    <row r="13" spans="1:9" ht="16.5" customHeight="1" x14ac:dyDescent="0.3">
      <c r="A13" s="226" t="s">
        <v>697</v>
      </c>
      <c r="B13" s="226"/>
      <c r="C13" s="173"/>
      <c r="D13" s="173"/>
      <c r="E13" s="173"/>
      <c r="F13" s="173"/>
    </row>
    <row r="14" spans="1:9" ht="22.5" customHeight="1" x14ac:dyDescent="0.3">
      <c r="A14" s="227" t="s">
        <v>698</v>
      </c>
      <c r="B14" s="227"/>
      <c r="C14" s="112" t="s">
        <v>699</v>
      </c>
      <c r="D14" s="112" t="s">
        <v>700</v>
      </c>
      <c r="E14" s="112" t="s">
        <v>701</v>
      </c>
      <c r="F14" s="112" t="s">
        <v>702</v>
      </c>
    </row>
    <row r="15" spans="1:9" x14ac:dyDescent="0.3">
      <c r="A15" s="222"/>
      <c r="B15" s="222"/>
      <c r="C15" s="222"/>
      <c r="D15" s="222"/>
      <c r="E15" s="222"/>
      <c r="F15" s="222"/>
    </row>
    <row r="16" spans="1:9" ht="16.5" customHeight="1" x14ac:dyDescent="0.3">
      <c r="A16" s="223" t="s">
        <v>703</v>
      </c>
      <c r="B16" s="223"/>
      <c r="C16" s="223"/>
      <c r="D16" s="223"/>
      <c r="E16" s="223"/>
      <c r="F16" s="223"/>
    </row>
    <row r="17" spans="1:6" ht="16.5" customHeight="1" x14ac:dyDescent="0.3">
      <c r="A17" s="226" t="s">
        <v>704</v>
      </c>
      <c r="B17" s="226"/>
      <c r="C17" s="226"/>
      <c r="D17" s="226"/>
      <c r="E17" s="226"/>
      <c r="F17" s="226"/>
    </row>
    <row r="18" spans="1:6" ht="22.5" customHeight="1" x14ac:dyDescent="0.3">
      <c r="A18" s="227" t="s">
        <v>705</v>
      </c>
      <c r="B18" s="227"/>
      <c r="C18" s="112" t="s">
        <v>706</v>
      </c>
      <c r="D18" s="112" t="s">
        <v>707</v>
      </c>
      <c r="E18" s="227" t="s">
        <v>708</v>
      </c>
      <c r="F18" s="227"/>
    </row>
    <row r="19" spans="1:6" x14ac:dyDescent="0.3">
      <c r="A19" s="222"/>
      <c r="B19" s="222"/>
      <c r="C19" s="222"/>
      <c r="D19" s="222"/>
      <c r="E19" s="222"/>
      <c r="F19" s="222"/>
    </row>
    <row r="20" spans="1:6" ht="16.5" customHeight="1" x14ac:dyDescent="0.3">
      <c r="A20" s="223" t="s">
        <v>709</v>
      </c>
      <c r="B20" s="223"/>
      <c r="C20" s="223"/>
      <c r="D20" s="223"/>
      <c r="E20" s="223"/>
      <c r="F20" s="223"/>
    </row>
    <row r="21" spans="1:6" ht="39.75" customHeight="1" x14ac:dyDescent="0.3">
      <c r="A21" s="111" t="s">
        <v>552</v>
      </c>
      <c r="B21" s="229" t="s">
        <v>710</v>
      </c>
      <c r="C21" s="229"/>
      <c r="D21" s="229"/>
      <c r="E21" s="229"/>
      <c r="F21" s="229"/>
    </row>
    <row r="22" spans="1:6" ht="39.75" customHeight="1" x14ac:dyDescent="0.3">
      <c r="A22" s="112" t="s">
        <v>554</v>
      </c>
      <c r="B22" s="230" t="s">
        <v>711</v>
      </c>
      <c r="C22" s="230"/>
      <c r="D22" s="230"/>
      <c r="E22" s="230"/>
      <c r="F22" s="230"/>
    </row>
    <row r="23" spans="1:6" ht="39.75" customHeight="1" x14ac:dyDescent="0.3">
      <c r="A23" s="111" t="s">
        <v>556</v>
      </c>
      <c r="B23" s="229" t="s">
        <v>712</v>
      </c>
      <c r="C23" s="229"/>
      <c r="D23" s="229"/>
      <c r="E23" s="229"/>
      <c r="F23" s="229"/>
    </row>
    <row r="24" spans="1:6" ht="39.75" customHeight="1" x14ac:dyDescent="0.3">
      <c r="A24" s="112" t="s">
        <v>558</v>
      </c>
      <c r="B24" s="230" t="s">
        <v>713</v>
      </c>
      <c r="C24" s="230"/>
      <c r="D24" s="230"/>
      <c r="E24" s="230"/>
      <c r="F24" s="230"/>
    </row>
    <row r="25" spans="1:6" ht="39.75" customHeight="1" x14ac:dyDescent="0.3">
      <c r="A25" s="111" t="s">
        <v>560</v>
      </c>
      <c r="B25" s="229" t="s">
        <v>714</v>
      </c>
      <c r="C25" s="229"/>
      <c r="D25" s="229"/>
      <c r="E25" s="229"/>
      <c r="F25" s="229"/>
    </row>
    <row r="26" spans="1:6" ht="39.75" customHeight="1" x14ac:dyDescent="0.3">
      <c r="A26" s="112" t="s">
        <v>562</v>
      </c>
      <c r="B26" s="230" t="s">
        <v>715</v>
      </c>
      <c r="C26" s="230"/>
      <c r="D26" s="230"/>
      <c r="E26" s="230"/>
      <c r="F26" s="230"/>
    </row>
    <row r="27" spans="1:6" ht="39.75" customHeight="1" x14ac:dyDescent="0.3">
      <c r="A27" s="111" t="s">
        <v>564</v>
      </c>
      <c r="B27" s="229" t="s">
        <v>716</v>
      </c>
      <c r="C27" s="229"/>
      <c r="D27" s="229"/>
      <c r="E27" s="229"/>
      <c r="F27" s="229"/>
    </row>
    <row r="28" spans="1:6" ht="39.75" customHeight="1" x14ac:dyDescent="0.3">
      <c r="A28" s="112" t="s">
        <v>585</v>
      </c>
      <c r="B28" s="230" t="s">
        <v>717</v>
      </c>
      <c r="C28" s="230"/>
      <c r="D28" s="230"/>
      <c r="E28" s="230"/>
      <c r="F28" s="230"/>
    </row>
    <row r="29" spans="1:6" ht="39.75" customHeight="1" x14ac:dyDescent="0.3">
      <c r="A29" s="111" t="s">
        <v>718</v>
      </c>
      <c r="B29" s="229" t="s">
        <v>719</v>
      </c>
      <c r="C29" s="229"/>
      <c r="D29" s="229"/>
      <c r="E29" s="229"/>
      <c r="F29" s="229"/>
    </row>
    <row r="30" spans="1:6" ht="39.75" customHeight="1" x14ac:dyDescent="0.3">
      <c r="A30" s="112" t="s">
        <v>720</v>
      </c>
      <c r="B30" s="230" t="s">
        <v>721</v>
      </c>
      <c r="C30" s="230"/>
      <c r="D30" s="230"/>
      <c r="E30" s="230"/>
      <c r="F30" s="230"/>
    </row>
    <row r="31" spans="1:6" ht="39.75" customHeight="1" x14ac:dyDescent="0.3">
      <c r="A31" s="111" t="s">
        <v>722</v>
      </c>
      <c r="B31" s="229" t="s">
        <v>723</v>
      </c>
      <c r="C31" s="229"/>
      <c r="D31" s="229"/>
      <c r="E31" s="229"/>
      <c r="F31" s="229"/>
    </row>
    <row r="32" spans="1:6" ht="39.75" customHeight="1" x14ac:dyDescent="0.3">
      <c r="A32" s="112" t="s">
        <v>724</v>
      </c>
      <c r="B32" s="230" t="s">
        <v>725</v>
      </c>
      <c r="C32" s="230"/>
      <c r="D32" s="230"/>
      <c r="E32" s="230"/>
      <c r="F32" s="230"/>
    </row>
    <row r="33" spans="1:6" x14ac:dyDescent="0.3">
      <c r="A33" s="222"/>
      <c r="B33" s="222"/>
      <c r="C33" s="222"/>
      <c r="D33" s="222"/>
      <c r="E33" s="222"/>
      <c r="F33" s="222"/>
    </row>
    <row r="34" spans="1:6" ht="16.5" customHeight="1" x14ac:dyDescent="0.3">
      <c r="A34" s="223" t="s">
        <v>726</v>
      </c>
      <c r="B34" s="223"/>
      <c r="C34" s="223"/>
      <c r="D34" s="223"/>
      <c r="E34" s="223"/>
      <c r="F34" s="223"/>
    </row>
    <row r="35" spans="1:6" ht="20.399999999999999" x14ac:dyDescent="0.3">
      <c r="A35" s="112" t="s">
        <v>1</v>
      </c>
      <c r="B35" s="112" t="s">
        <v>727</v>
      </c>
      <c r="C35" s="112" t="s">
        <v>659</v>
      </c>
      <c r="D35" s="112" t="s">
        <v>321</v>
      </c>
      <c r="E35" s="112" t="s">
        <v>728</v>
      </c>
      <c r="F35" s="112" t="s">
        <v>729</v>
      </c>
    </row>
    <row r="36" spans="1:6" x14ac:dyDescent="0.3">
      <c r="A36" s="111">
        <v>1</v>
      </c>
      <c r="B36" s="111" t="s">
        <v>730</v>
      </c>
      <c r="C36" s="174">
        <f>AAI!B140</f>
        <v>4783.8</v>
      </c>
      <c r="D36" s="111">
        <f>AAI!C22</f>
        <v>2</v>
      </c>
      <c r="E36" s="174">
        <f t="shared" ref="E36:E44" si="0">C36*D36</f>
        <v>9567.6</v>
      </c>
      <c r="F36" s="175">
        <f t="shared" ref="F36:F45" si="1">TRUNC((E36*12),2)</f>
        <v>114811.2</v>
      </c>
    </row>
    <row r="37" spans="1:6" x14ac:dyDescent="0.3">
      <c r="A37" s="112">
        <v>2</v>
      </c>
      <c r="B37" s="112" t="s">
        <v>731</v>
      </c>
      <c r="C37" s="170">
        <f>AAII!B140</f>
        <v>5506.83</v>
      </c>
      <c r="D37" s="112">
        <f>AAII!C22</f>
        <v>1</v>
      </c>
      <c r="E37" s="170">
        <f t="shared" si="0"/>
        <v>5506.83</v>
      </c>
      <c r="F37" s="176">
        <f t="shared" si="1"/>
        <v>66081.960000000006</v>
      </c>
    </row>
    <row r="38" spans="1:6" x14ac:dyDescent="0.3">
      <c r="A38" s="111">
        <v>3</v>
      </c>
      <c r="B38" s="111" t="s">
        <v>732</v>
      </c>
      <c r="C38" s="174">
        <f>AAIII!B140</f>
        <v>6715.93</v>
      </c>
      <c r="D38" s="111">
        <f>AAIII!C22</f>
        <v>1</v>
      </c>
      <c r="E38" s="174">
        <f t="shared" si="0"/>
        <v>6715.93</v>
      </c>
      <c r="F38" s="175">
        <f t="shared" si="1"/>
        <v>80591.16</v>
      </c>
    </row>
    <row r="39" spans="1:6" ht="18" customHeight="1" x14ac:dyDescent="0.3">
      <c r="A39" s="112">
        <v>4</v>
      </c>
      <c r="B39" s="112" t="s">
        <v>733</v>
      </c>
      <c r="C39" s="170">
        <f>SENS!B140</f>
        <v>8454</v>
      </c>
      <c r="D39" s="112">
        <f>SENS!C22</f>
        <v>1</v>
      </c>
      <c r="E39" s="170">
        <f t="shared" si="0"/>
        <v>8454</v>
      </c>
      <c r="F39" s="176">
        <f t="shared" si="1"/>
        <v>101448</v>
      </c>
    </row>
    <row r="40" spans="1:6" x14ac:dyDescent="0.3">
      <c r="A40" s="111">
        <v>5</v>
      </c>
      <c r="B40" s="111" t="s">
        <v>734</v>
      </c>
      <c r="C40" s="174">
        <f>BCD!B140</f>
        <v>10759.47</v>
      </c>
      <c r="D40" s="111">
        <f>BCD!C22</f>
        <v>2</v>
      </c>
      <c r="E40" s="174">
        <f t="shared" si="0"/>
        <v>21518.94</v>
      </c>
      <c r="F40" s="175">
        <f t="shared" si="1"/>
        <v>258227.28</v>
      </c>
    </row>
    <row r="41" spans="1:6" x14ac:dyDescent="0.3">
      <c r="A41" s="112">
        <v>6</v>
      </c>
      <c r="B41" s="112" t="s">
        <v>735</v>
      </c>
      <c r="C41" s="171">
        <f>Jard!E144</f>
        <v>146.08000000000001</v>
      </c>
      <c r="D41" s="112">
        <v>8</v>
      </c>
      <c r="E41" s="170">
        <f t="shared" si="0"/>
        <v>1168.6400000000001</v>
      </c>
      <c r="F41" s="176">
        <f t="shared" si="1"/>
        <v>14023.68</v>
      </c>
    </row>
    <row r="42" spans="1:6" x14ac:dyDescent="0.3">
      <c r="A42" s="111">
        <v>8</v>
      </c>
      <c r="B42" s="111" t="s">
        <v>736</v>
      </c>
      <c r="C42" s="177">
        <f>Rec!B140</f>
        <v>4783.78</v>
      </c>
      <c r="D42" s="111">
        <v>1</v>
      </c>
      <c r="E42" s="177">
        <f t="shared" si="0"/>
        <v>4783.78</v>
      </c>
      <c r="F42" s="175">
        <f t="shared" si="1"/>
        <v>57405.36</v>
      </c>
    </row>
    <row r="43" spans="1:6" x14ac:dyDescent="0.3">
      <c r="A43" s="112">
        <v>9</v>
      </c>
      <c r="B43" s="112" t="s">
        <v>737</v>
      </c>
      <c r="C43" s="171">
        <f>Cop!B140</f>
        <v>4100.1499999999996</v>
      </c>
      <c r="D43" s="112">
        <v>1</v>
      </c>
      <c r="E43" s="171">
        <f t="shared" si="0"/>
        <v>4100.1499999999996</v>
      </c>
      <c r="F43" s="176">
        <f t="shared" si="1"/>
        <v>49201.8</v>
      </c>
    </row>
    <row r="44" spans="1:6" x14ac:dyDescent="0.3">
      <c r="A44" s="111">
        <v>10</v>
      </c>
      <c r="B44" s="111" t="s">
        <v>738</v>
      </c>
      <c r="C44" s="177">
        <f>SL!B140</f>
        <v>4507.74</v>
      </c>
      <c r="D44" s="111">
        <f>SL!C22</f>
        <v>5</v>
      </c>
      <c r="E44" s="177">
        <f t="shared" si="0"/>
        <v>22538.699999999997</v>
      </c>
      <c r="F44" s="175">
        <f t="shared" si="1"/>
        <v>270464.40000000002</v>
      </c>
    </row>
    <row r="45" spans="1:6" ht="16.5" customHeight="1" x14ac:dyDescent="0.3">
      <c r="A45" s="227" t="s">
        <v>739</v>
      </c>
      <c r="B45" s="227"/>
      <c r="C45" s="171"/>
      <c r="D45" s="112"/>
      <c r="E45" s="171">
        <f>SUM(E36:E44)</f>
        <v>84354.57</v>
      </c>
      <c r="F45" s="176">
        <f t="shared" si="1"/>
        <v>1012254.84</v>
      </c>
    </row>
    <row r="46" spans="1:6" x14ac:dyDescent="0.3">
      <c r="A46" s="222"/>
      <c r="B46" s="222"/>
      <c r="C46" s="222"/>
      <c r="D46" s="222"/>
      <c r="E46" s="222"/>
      <c r="F46" s="222"/>
    </row>
    <row r="47" spans="1:6" ht="16.5" customHeight="1" x14ac:dyDescent="0.3">
      <c r="A47" s="223" t="s">
        <v>740</v>
      </c>
      <c r="B47" s="223"/>
      <c r="C47" s="223"/>
      <c r="D47" s="223"/>
      <c r="E47" s="223"/>
      <c r="F47" s="223"/>
    </row>
    <row r="48" spans="1:6" ht="16.5" customHeight="1" x14ac:dyDescent="0.3">
      <c r="A48" s="178">
        <v>11</v>
      </c>
      <c r="B48" s="231" t="s">
        <v>741</v>
      </c>
      <c r="C48" s="231"/>
      <c r="D48" s="231"/>
      <c r="E48" s="178" t="s">
        <v>742</v>
      </c>
      <c r="F48" s="178" t="s">
        <v>106</v>
      </c>
    </row>
    <row r="49" spans="1:6" ht="16.5" customHeight="1" x14ac:dyDescent="0.3">
      <c r="A49" s="227" t="s">
        <v>743</v>
      </c>
      <c r="B49" s="227"/>
      <c r="C49" s="227"/>
      <c r="D49" s="227"/>
      <c r="E49" s="171">
        <f>Gás!J3</f>
        <v>76.67</v>
      </c>
      <c r="F49" s="171">
        <f>Gás!K3</f>
        <v>920.04</v>
      </c>
    </row>
    <row r="50" spans="1:6" x14ac:dyDescent="0.3">
      <c r="A50" s="232"/>
      <c r="B50" s="232"/>
      <c r="C50" s="232"/>
      <c r="D50" s="232"/>
      <c r="E50" s="232"/>
      <c r="F50" s="232"/>
    </row>
    <row r="51" spans="1:6" ht="16.5" customHeight="1" x14ac:dyDescent="0.3">
      <c r="A51" s="223" t="s">
        <v>744</v>
      </c>
      <c r="B51" s="223"/>
      <c r="C51" s="223"/>
      <c r="D51" s="223"/>
      <c r="E51" s="223"/>
      <c r="F51" s="223"/>
    </row>
    <row r="52" spans="1:6" ht="16.5" customHeight="1" x14ac:dyDescent="0.3">
      <c r="A52" s="111">
        <v>12</v>
      </c>
      <c r="B52" s="226" t="s">
        <v>745</v>
      </c>
      <c r="C52" s="226"/>
      <c r="D52" s="226"/>
      <c r="E52" s="111" t="s">
        <v>742</v>
      </c>
      <c r="F52" s="111" t="s">
        <v>106</v>
      </c>
    </row>
    <row r="53" spans="1:6" ht="16.5" customHeight="1" x14ac:dyDescent="0.3">
      <c r="A53" s="227" t="s">
        <v>743</v>
      </c>
      <c r="B53" s="227"/>
      <c r="C53" s="227"/>
      <c r="D53" s="227"/>
      <c r="E53" s="171">
        <f>GA!J10</f>
        <v>3054.76</v>
      </c>
      <c r="F53" s="171">
        <f>GA!K10</f>
        <v>36657.120000000003</v>
      </c>
    </row>
    <row r="54" spans="1:6" x14ac:dyDescent="0.3">
      <c r="A54" s="233"/>
      <c r="B54" s="233"/>
      <c r="C54" s="233"/>
      <c r="D54" s="233"/>
      <c r="E54" s="233"/>
      <c r="F54" s="233"/>
    </row>
    <row r="55" spans="1:6" ht="16.5" customHeight="1" x14ac:dyDescent="0.3">
      <c r="A55" s="223" t="s">
        <v>746</v>
      </c>
      <c r="B55" s="223"/>
      <c r="C55" s="223"/>
      <c r="D55" s="223"/>
      <c r="E55" s="223"/>
      <c r="F55" s="223"/>
    </row>
    <row r="56" spans="1:6" ht="16.5" customHeight="1" x14ac:dyDescent="0.3">
      <c r="A56" s="111">
        <v>13</v>
      </c>
      <c r="B56" s="226" t="s">
        <v>747</v>
      </c>
      <c r="C56" s="226"/>
      <c r="D56" s="226"/>
      <c r="E56" s="111" t="s">
        <v>742</v>
      </c>
      <c r="F56" s="111" t="s">
        <v>106</v>
      </c>
    </row>
    <row r="57" spans="1:6" ht="16.5" customHeight="1" x14ac:dyDescent="0.3">
      <c r="A57" s="227" t="s">
        <v>743</v>
      </c>
      <c r="B57" s="227"/>
      <c r="C57" s="227"/>
      <c r="D57" s="227"/>
      <c r="E57" s="171">
        <f>'MCC - Sob Demanda'!J68</f>
        <v>846.21</v>
      </c>
      <c r="F57" s="171">
        <f>'MCC - Sob Demanda'!J64</f>
        <v>10154.56</v>
      </c>
    </row>
    <row r="58" spans="1:6" x14ac:dyDescent="0.3">
      <c r="A58" s="222"/>
      <c r="B58" s="222"/>
      <c r="C58" s="222"/>
      <c r="D58" s="222"/>
      <c r="E58" s="222"/>
      <c r="F58" s="222"/>
    </row>
    <row r="59" spans="1:6" ht="16.5" customHeight="1" x14ac:dyDescent="0.3">
      <c r="A59" s="223" t="s">
        <v>748</v>
      </c>
      <c r="B59" s="223"/>
      <c r="C59" s="223"/>
      <c r="D59" s="223"/>
      <c r="E59" s="223"/>
      <c r="F59" s="223"/>
    </row>
    <row r="60" spans="1:6" ht="16.5" customHeight="1" x14ac:dyDescent="0.3">
      <c r="A60" s="111">
        <v>14</v>
      </c>
      <c r="B60" s="226" t="s">
        <v>749</v>
      </c>
      <c r="C60" s="226"/>
      <c r="D60" s="226"/>
      <c r="E60" s="111" t="s">
        <v>742</v>
      </c>
      <c r="F60" s="111" t="s">
        <v>106</v>
      </c>
    </row>
    <row r="61" spans="1:6" ht="16.5" customHeight="1" x14ac:dyDescent="0.3">
      <c r="A61" s="227" t="s">
        <v>743</v>
      </c>
      <c r="B61" s="227"/>
      <c r="C61" s="227"/>
      <c r="D61" s="227"/>
      <c r="E61" s="171">
        <f>MIJ!H19</f>
        <v>90.73</v>
      </c>
      <c r="F61" s="171">
        <f>MIJ!H17</f>
        <v>1088.72</v>
      </c>
    </row>
    <row r="62" spans="1:6" x14ac:dyDescent="0.3">
      <c r="A62" s="224"/>
      <c r="B62" s="224"/>
      <c r="C62" s="224"/>
      <c r="D62" s="224"/>
      <c r="E62" s="224"/>
      <c r="F62" s="224"/>
    </row>
    <row r="63" spans="1:6" x14ac:dyDescent="0.3">
      <c r="A63" s="179"/>
      <c r="B63" s="180"/>
      <c r="C63" s="180"/>
      <c r="D63" s="180"/>
      <c r="E63" s="181"/>
      <c r="F63" s="182"/>
    </row>
    <row r="64" spans="1:6" ht="16.5" customHeight="1" x14ac:dyDescent="0.3">
      <c r="A64" s="223" t="s">
        <v>750</v>
      </c>
      <c r="B64" s="223"/>
      <c r="C64" s="223"/>
      <c r="D64" s="223"/>
      <c r="E64" s="223"/>
      <c r="F64" s="223"/>
    </row>
    <row r="65" spans="1:6" ht="16.5" customHeight="1" x14ac:dyDescent="0.3">
      <c r="A65" s="111">
        <v>15</v>
      </c>
      <c r="B65" s="226" t="s">
        <v>751</v>
      </c>
      <c r="C65" s="226"/>
      <c r="D65" s="226"/>
      <c r="E65" s="111" t="s">
        <v>742</v>
      </c>
      <c r="F65" s="111" t="s">
        <v>106</v>
      </c>
    </row>
    <row r="66" spans="1:6" ht="16.5" customHeight="1" x14ac:dyDescent="0.3">
      <c r="A66" s="227" t="s">
        <v>743</v>
      </c>
      <c r="B66" s="227"/>
      <c r="C66" s="227"/>
      <c r="D66" s="227"/>
      <c r="E66" s="171">
        <f>IOJ!H33</f>
        <v>586.51</v>
      </c>
      <c r="F66" s="171">
        <f>IOJ!H30</f>
        <v>7038.1</v>
      </c>
    </row>
    <row r="67" spans="1:6" x14ac:dyDescent="0.3">
      <c r="A67" s="222"/>
      <c r="B67" s="222"/>
      <c r="C67" s="222"/>
      <c r="D67" s="222"/>
      <c r="E67" s="222"/>
      <c r="F67" s="222"/>
    </row>
    <row r="68" spans="1:6" ht="16.5" customHeight="1" x14ac:dyDescent="0.3">
      <c r="A68" s="223" t="s">
        <v>752</v>
      </c>
      <c r="B68" s="223"/>
      <c r="C68" s="223"/>
      <c r="D68" s="223"/>
      <c r="E68" s="223"/>
      <c r="F68" s="223"/>
    </row>
    <row r="69" spans="1:6" ht="16.5" customHeight="1" x14ac:dyDescent="0.3">
      <c r="A69" s="226" t="s">
        <v>753</v>
      </c>
      <c r="B69" s="226"/>
      <c r="C69" s="226" t="s">
        <v>742</v>
      </c>
      <c r="D69" s="226"/>
      <c r="E69" s="226" t="s">
        <v>106</v>
      </c>
      <c r="F69" s="226"/>
    </row>
    <row r="70" spans="1:6" ht="16.5" customHeight="1" x14ac:dyDescent="0.3">
      <c r="A70" s="227" t="s">
        <v>754</v>
      </c>
      <c r="B70" s="227"/>
      <c r="C70" s="234">
        <f>TRUNC((E45+E49+E53+E57+E61+E66),2)</f>
        <v>89009.45</v>
      </c>
      <c r="D70" s="234"/>
      <c r="E70" s="234">
        <f>TRUNC((F45+F49+F53+F57+F61+F66),2)</f>
        <v>1068113.3799999999</v>
      </c>
      <c r="F70" s="234"/>
    </row>
    <row r="71" spans="1:6" x14ac:dyDescent="0.3">
      <c r="A71" s="32"/>
      <c r="B71" s="32"/>
      <c r="C71" s="32"/>
      <c r="D71" s="32"/>
      <c r="E71" s="32"/>
      <c r="F71" s="32"/>
    </row>
    <row r="72" spans="1:6" x14ac:dyDescent="0.3">
      <c r="A72" s="32"/>
      <c r="B72" s="32"/>
      <c r="C72" s="32"/>
      <c r="D72" s="32"/>
      <c r="E72" s="32"/>
      <c r="F72" s="32"/>
    </row>
  </sheetData>
  <mergeCells count="70">
    <mergeCell ref="A68:F68"/>
    <mergeCell ref="A69:B69"/>
    <mergeCell ref="C69:D69"/>
    <mergeCell ref="E69:F69"/>
    <mergeCell ref="A70:B70"/>
    <mergeCell ref="C70:D70"/>
    <mergeCell ref="E70:F70"/>
    <mergeCell ref="A62:F62"/>
    <mergeCell ref="A64:F64"/>
    <mergeCell ref="B65:D65"/>
    <mergeCell ref="A66:D66"/>
    <mergeCell ref="A67:F67"/>
    <mergeCell ref="A57:D57"/>
    <mergeCell ref="A58:F58"/>
    <mergeCell ref="A59:F59"/>
    <mergeCell ref="B60:D60"/>
    <mergeCell ref="A61:D61"/>
    <mergeCell ref="B52:D52"/>
    <mergeCell ref="A53:D53"/>
    <mergeCell ref="A54:F54"/>
    <mergeCell ref="A55:F55"/>
    <mergeCell ref="B56:D56"/>
    <mergeCell ref="A47:F47"/>
    <mergeCell ref="B48:D48"/>
    <mergeCell ref="A49:D49"/>
    <mergeCell ref="A50:F50"/>
    <mergeCell ref="A51:F51"/>
    <mergeCell ref="B32:F32"/>
    <mergeCell ref="A33:F33"/>
    <mergeCell ref="A34:F34"/>
    <mergeCell ref="A45:B45"/>
    <mergeCell ref="A46:F46"/>
    <mergeCell ref="B27:F27"/>
    <mergeCell ref="B28:F28"/>
    <mergeCell ref="B29:F29"/>
    <mergeCell ref="B30:F30"/>
    <mergeCell ref="B31:F31"/>
    <mergeCell ref="B22:F22"/>
    <mergeCell ref="B23:F23"/>
    <mergeCell ref="B24:F24"/>
    <mergeCell ref="B25:F25"/>
    <mergeCell ref="B26:F26"/>
    <mergeCell ref="A18:B18"/>
    <mergeCell ref="E18:F18"/>
    <mergeCell ref="A19:F19"/>
    <mergeCell ref="A20:F20"/>
    <mergeCell ref="B21:F21"/>
    <mergeCell ref="A13:B13"/>
    <mergeCell ref="A14:B14"/>
    <mergeCell ref="A15:F15"/>
    <mergeCell ref="A16:F16"/>
    <mergeCell ref="A17:B17"/>
    <mergeCell ref="C17:F17"/>
    <mergeCell ref="A10:B10"/>
    <mergeCell ref="C10:F10"/>
    <mergeCell ref="A11:B11"/>
    <mergeCell ref="C11:F11"/>
    <mergeCell ref="A12:B12"/>
    <mergeCell ref="C12:D12"/>
    <mergeCell ref="E12:F12"/>
    <mergeCell ref="A6:F6"/>
    <mergeCell ref="A7:F7"/>
    <mergeCell ref="A8:F8"/>
    <mergeCell ref="A9:B9"/>
    <mergeCell ref="C9:F9"/>
    <mergeCell ref="A1:F1"/>
    <mergeCell ref="A2:F2"/>
    <mergeCell ref="A3:F3"/>
    <mergeCell ref="A4:F4"/>
    <mergeCell ref="A5:F5"/>
  </mergeCells>
  <pageMargins left="0.51180555555555596" right="0.51180555555555596" top="0.78749999999999998" bottom="0.78749999999999998" header="0.511811023622047" footer="0.511811023622047"/>
  <pageSetup paperSize="9" orientation="portrait" horizontalDpi="300" verticalDpi="300"/>
  <drawing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43"/>
  <sheetViews>
    <sheetView zoomScale="130" zoomScaleNormal="13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522</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6" x14ac:dyDescent="0.3">
      <c r="A17" s="226"/>
      <c r="B17" s="226"/>
      <c r="C17" s="277" t="s">
        <v>533</v>
      </c>
      <c r="D17" s="277"/>
      <c r="E17" s="277"/>
      <c r="F17" s="277"/>
    </row>
    <row r="18" spans="1:6" x14ac:dyDescent="0.3">
      <c r="A18" s="274" t="s">
        <v>534</v>
      </c>
      <c r="B18" s="274"/>
      <c r="C18" s="274">
        <v>12</v>
      </c>
      <c r="D18" s="274"/>
      <c r="E18" s="274"/>
      <c r="F18" s="274"/>
    </row>
    <row r="19" spans="1:6" x14ac:dyDescent="0.3">
      <c r="A19" s="270"/>
      <c r="B19" s="270"/>
      <c r="C19" s="270"/>
      <c r="D19" s="270"/>
      <c r="E19" s="270"/>
      <c r="F19" s="270"/>
    </row>
    <row r="20" spans="1:6" x14ac:dyDescent="0.3">
      <c r="A20" s="271" t="s">
        <v>535</v>
      </c>
      <c r="B20" s="271"/>
      <c r="C20" s="271"/>
      <c r="D20" s="271"/>
      <c r="E20" s="271"/>
      <c r="F20" s="271"/>
    </row>
    <row r="21" spans="1:6" x14ac:dyDescent="0.3">
      <c r="A21" s="272" t="s">
        <v>536</v>
      </c>
      <c r="B21" s="272"/>
      <c r="C21" s="272" t="s">
        <v>537</v>
      </c>
      <c r="D21" s="272"/>
      <c r="E21" s="272"/>
      <c r="F21" s="272"/>
    </row>
    <row r="22" spans="1:6" ht="27" customHeight="1" x14ac:dyDescent="0.3">
      <c r="A22" s="227" t="s">
        <v>538</v>
      </c>
      <c r="B22" s="227"/>
      <c r="C22" s="274">
        <v>2</v>
      </c>
      <c r="D22" s="274"/>
      <c r="E22" s="274"/>
      <c r="F22" s="274"/>
    </row>
    <row r="23" spans="1:6" x14ac:dyDescent="0.3">
      <c r="A23" s="270"/>
      <c r="B23" s="270"/>
      <c r="C23" s="270"/>
      <c r="D23" s="270"/>
      <c r="E23" s="270"/>
      <c r="F23" s="270"/>
    </row>
    <row r="24" spans="1:6" x14ac:dyDescent="0.3">
      <c r="A24" s="271" t="s">
        <v>539</v>
      </c>
      <c r="B24" s="271"/>
      <c r="C24" s="271"/>
      <c r="D24" s="271"/>
      <c r="E24" s="271"/>
      <c r="F24" s="271"/>
    </row>
    <row r="25" spans="1:6" x14ac:dyDescent="0.3">
      <c r="A25" s="274" t="s">
        <v>540</v>
      </c>
      <c r="B25" s="274"/>
      <c r="C25" s="274"/>
      <c r="D25" s="274"/>
      <c r="E25" s="274"/>
      <c r="F25" s="274"/>
    </row>
    <row r="26" spans="1:6" ht="21" customHeight="1" x14ac:dyDescent="0.3">
      <c r="A26" s="226" t="s">
        <v>541</v>
      </c>
      <c r="B26" s="226"/>
      <c r="C26" s="272" t="s">
        <v>39</v>
      </c>
      <c r="D26" s="272"/>
      <c r="E26" s="272"/>
      <c r="F26" s="272"/>
    </row>
    <row r="27" spans="1:6" x14ac:dyDescent="0.3">
      <c r="A27" s="274" t="s">
        <v>542</v>
      </c>
      <c r="B27" s="274"/>
      <c r="C27" s="278" t="s">
        <v>543</v>
      </c>
      <c r="D27" s="278"/>
      <c r="E27" s="278"/>
      <c r="F27" s="278"/>
    </row>
    <row r="28" spans="1:6" x14ac:dyDescent="0.3">
      <c r="A28" s="272" t="s">
        <v>544</v>
      </c>
      <c r="B28" s="272"/>
      <c r="C28" s="279">
        <f>'Salários.VA.VT.QteDias.LDI.T'!C3</f>
        <v>1983.35</v>
      </c>
      <c r="D28" s="279"/>
      <c r="E28" s="279"/>
      <c r="F28" s="279"/>
    </row>
    <row r="29" spans="1:6" ht="24.75" customHeight="1" x14ac:dyDescent="0.3">
      <c r="A29" s="227" t="s">
        <v>545</v>
      </c>
      <c r="B29" s="227"/>
      <c r="C29" s="274" t="s">
        <v>546</v>
      </c>
      <c r="D29" s="274"/>
      <c r="E29" s="274"/>
      <c r="F29" s="274"/>
    </row>
    <row r="30" spans="1:6" x14ac:dyDescent="0.3">
      <c r="A30" s="272" t="s">
        <v>547</v>
      </c>
      <c r="B30" s="272"/>
      <c r="C30" s="276" t="s">
        <v>548</v>
      </c>
      <c r="D30" s="276"/>
      <c r="E30" s="276"/>
      <c r="F30" s="276"/>
    </row>
    <row r="31" spans="1:6" x14ac:dyDescent="0.3">
      <c r="A31" s="280" t="s">
        <v>549</v>
      </c>
      <c r="B31" s="280"/>
      <c r="C31" s="280"/>
      <c r="D31" s="280"/>
      <c r="E31" s="280"/>
      <c r="F31" s="280"/>
    </row>
    <row r="32" spans="1:6"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1983.35</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v>0</v>
      </c>
    </row>
    <row r="41" spans="1:6" x14ac:dyDescent="0.3">
      <c r="A41" s="271" t="s">
        <v>566</v>
      </c>
      <c r="B41" s="271"/>
      <c r="C41" s="271"/>
      <c r="D41" s="271"/>
      <c r="E41" s="271"/>
      <c r="F41" s="119">
        <f>TRUNC(SUM(F34:F40),2)</f>
        <v>1983.35</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82" t="s">
        <v>572</v>
      </c>
      <c r="C46" s="282"/>
      <c r="D46" s="282"/>
      <c r="E46" s="120">
        <f>TRUNC((100/12),2)</f>
        <v>8.33</v>
      </c>
      <c r="F46" s="116">
        <f>TRUNC((F41*E46%),2)</f>
        <v>165.21</v>
      </c>
    </row>
    <row r="47" spans="1:6" x14ac:dyDescent="0.3">
      <c r="A47" s="117" t="s">
        <v>554</v>
      </c>
      <c r="B47" s="283" t="s">
        <v>573</v>
      </c>
      <c r="C47" s="283"/>
      <c r="D47" s="283"/>
      <c r="E47" s="121">
        <f>E46/3</f>
        <v>2.7766666666666668</v>
      </c>
      <c r="F47" s="118">
        <f>TRUNC((F41*E47%),2)</f>
        <v>55.07</v>
      </c>
    </row>
    <row r="48" spans="1:6" x14ac:dyDescent="0.3">
      <c r="A48" s="271" t="s">
        <v>574</v>
      </c>
      <c r="B48" s="271"/>
      <c r="C48" s="271"/>
      <c r="D48" s="271"/>
      <c r="E48" s="122">
        <f>SUM(E46:E47)</f>
        <v>11.106666666666667</v>
      </c>
      <c r="F48" s="119">
        <f>TRUNC((SUM(F46:F47)),2)</f>
        <v>220.28</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440.72</v>
      </c>
    </row>
    <row r="52" spans="1:6" x14ac:dyDescent="0.3">
      <c r="A52" s="117" t="s">
        <v>554</v>
      </c>
      <c r="B52" s="283" t="s">
        <v>579</v>
      </c>
      <c r="C52" s="283"/>
      <c r="D52" s="283"/>
      <c r="E52" s="124">
        <v>2.5000000000000001E-2</v>
      </c>
      <c r="F52" s="118">
        <f t="shared" si="0"/>
        <v>55.09</v>
      </c>
    </row>
    <row r="53" spans="1:6" x14ac:dyDescent="0.3">
      <c r="A53" s="125" t="s">
        <v>556</v>
      </c>
      <c r="B53" s="282" t="s">
        <v>580</v>
      </c>
      <c r="C53" s="282"/>
      <c r="D53" s="282"/>
      <c r="E53" s="207">
        <v>0.03</v>
      </c>
      <c r="F53" s="116">
        <f t="shared" si="0"/>
        <v>66.099999999999994</v>
      </c>
    </row>
    <row r="54" spans="1:6" x14ac:dyDescent="0.3">
      <c r="A54" s="117" t="s">
        <v>558</v>
      </c>
      <c r="B54" s="283" t="s">
        <v>581</v>
      </c>
      <c r="C54" s="283"/>
      <c r="D54" s="283"/>
      <c r="E54" s="124">
        <v>1.4999999999999999E-2</v>
      </c>
      <c r="F54" s="118">
        <f t="shared" si="0"/>
        <v>33.049999999999997</v>
      </c>
    </row>
    <row r="55" spans="1:6" x14ac:dyDescent="0.3">
      <c r="A55" s="115" t="s">
        <v>560</v>
      </c>
      <c r="B55" s="282" t="s">
        <v>582</v>
      </c>
      <c r="C55" s="282"/>
      <c r="D55" s="282"/>
      <c r="E55" s="123">
        <v>0.01</v>
      </c>
      <c r="F55" s="116">
        <f t="shared" si="0"/>
        <v>22.03</v>
      </c>
    </row>
    <row r="56" spans="1:6" x14ac:dyDescent="0.3">
      <c r="A56" s="117" t="s">
        <v>562</v>
      </c>
      <c r="B56" s="283" t="s">
        <v>583</v>
      </c>
      <c r="C56" s="283"/>
      <c r="D56" s="283"/>
      <c r="E56" s="124">
        <v>6.0000000000000001E-3</v>
      </c>
      <c r="F56" s="118">
        <f t="shared" si="0"/>
        <v>13.22</v>
      </c>
    </row>
    <row r="57" spans="1:6" x14ac:dyDescent="0.3">
      <c r="A57" s="115" t="s">
        <v>564</v>
      </c>
      <c r="B57" s="282" t="s">
        <v>584</v>
      </c>
      <c r="C57" s="282"/>
      <c r="D57" s="282"/>
      <c r="E57" s="123">
        <v>2E-3</v>
      </c>
      <c r="F57" s="116">
        <f t="shared" si="0"/>
        <v>4.4000000000000004</v>
      </c>
    </row>
    <row r="58" spans="1:6" x14ac:dyDescent="0.3">
      <c r="A58" s="117" t="s">
        <v>585</v>
      </c>
      <c r="B58" s="283" t="s">
        <v>586</v>
      </c>
      <c r="C58" s="283"/>
      <c r="D58" s="283"/>
      <c r="E58" s="124">
        <v>0.08</v>
      </c>
      <c r="F58" s="118">
        <f t="shared" si="0"/>
        <v>176.29</v>
      </c>
    </row>
    <row r="59" spans="1:6" x14ac:dyDescent="0.3">
      <c r="A59" s="271" t="s">
        <v>587</v>
      </c>
      <c r="B59" s="271"/>
      <c r="C59" s="271"/>
      <c r="D59" s="271"/>
      <c r="E59" s="126">
        <f>SUM(E51:E58)</f>
        <v>0.36800000000000005</v>
      </c>
      <c r="F59" s="119">
        <f>TRUNC((SUM(F51:F58)),2)</f>
        <v>810.9</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'Salários.VA.VT.QteDias.LDI.T'!E41</f>
        <v>21</v>
      </c>
      <c r="E63" s="113">
        <f>TRUNC(($F$34*6%),2)</f>
        <v>119</v>
      </c>
      <c r="F63" s="118">
        <f>TRUNC(IF(E63&gt;=189,0,((B63*C63*D63)-E63)),2)</f>
        <v>70</v>
      </c>
    </row>
    <row r="64" spans="1:6" x14ac:dyDescent="0.3">
      <c r="A64" s="286" t="s">
        <v>554</v>
      </c>
      <c r="B64" s="286" t="s">
        <v>595</v>
      </c>
      <c r="C64" s="286"/>
      <c r="D64" s="127" t="s">
        <v>593</v>
      </c>
      <c r="E64" s="127" t="s">
        <v>594</v>
      </c>
      <c r="F64" s="115" t="s">
        <v>551</v>
      </c>
    </row>
    <row r="65" spans="1:6" x14ac:dyDescent="0.3">
      <c r="A65" s="286"/>
      <c r="B65" s="287">
        <f>'Salários.VA.VT.QteDias.LDI.T'!E20</f>
        <v>26.7</v>
      </c>
      <c r="C65" s="287"/>
      <c r="D65" s="127">
        <f>'Salários.VA.VT.QteDias.LDI.T'!E41</f>
        <v>21</v>
      </c>
      <c r="E65" s="128">
        <f>TRUNC(0.1*(B65*D65),2)</f>
        <v>56.07</v>
      </c>
      <c r="F65" s="116">
        <f>TRUNC(((B65*D65)-E65),2)</f>
        <v>504.63</v>
      </c>
    </row>
    <row r="66" spans="1:6" x14ac:dyDescent="0.3">
      <c r="A66" s="272" t="s">
        <v>556</v>
      </c>
      <c r="B66" s="283" t="s">
        <v>596</v>
      </c>
      <c r="C66" s="283"/>
      <c r="D66" s="283"/>
      <c r="E66" s="283"/>
      <c r="F66" s="117" t="s">
        <v>551</v>
      </c>
    </row>
    <row r="67" spans="1:6" x14ac:dyDescent="0.3">
      <c r="A67" s="272"/>
      <c r="B67" s="283"/>
      <c r="C67" s="283"/>
      <c r="D67" s="283"/>
      <c r="E67" s="283"/>
      <c r="F67" s="205">
        <v>6</v>
      </c>
    </row>
    <row r="68" spans="1:6" x14ac:dyDescent="0.3">
      <c r="A68" s="286" t="s">
        <v>558</v>
      </c>
      <c r="B68" s="282" t="s">
        <v>597</v>
      </c>
      <c r="C68" s="282"/>
      <c r="D68" s="282"/>
      <c r="E68" s="282"/>
      <c r="F68" s="115" t="s">
        <v>551</v>
      </c>
    </row>
    <row r="69" spans="1:6" x14ac:dyDescent="0.3">
      <c r="A69" s="286"/>
      <c r="B69" s="282"/>
      <c r="C69" s="282"/>
      <c r="D69" s="282"/>
      <c r="E69" s="282"/>
      <c r="F69" s="206">
        <v>19.899999999999999</v>
      </c>
    </row>
    <row r="70" spans="1:6" x14ac:dyDescent="0.3">
      <c r="A70" s="272" t="s">
        <v>560</v>
      </c>
      <c r="B70" s="283" t="s">
        <v>565</v>
      </c>
      <c r="C70" s="283"/>
      <c r="D70" s="283"/>
      <c r="E70" s="283"/>
      <c r="F70" s="117" t="s">
        <v>551</v>
      </c>
    </row>
    <row r="71" spans="1:6" x14ac:dyDescent="0.3">
      <c r="A71" s="272"/>
      <c r="B71" s="283"/>
      <c r="C71" s="283"/>
      <c r="D71" s="283"/>
      <c r="E71" s="283"/>
      <c r="F71" s="205">
        <v>0</v>
      </c>
    </row>
    <row r="72" spans="1:6" x14ac:dyDescent="0.3">
      <c r="A72" s="271" t="s">
        <v>598</v>
      </c>
      <c r="B72" s="271"/>
      <c r="C72" s="271"/>
      <c r="D72" s="271"/>
      <c r="E72" s="271"/>
      <c r="F72" s="119">
        <f>TRUNC(SUM(F63,F65,F67,F69,F71),2)</f>
        <v>600.53</v>
      </c>
    </row>
    <row r="73" spans="1:6" x14ac:dyDescent="0.3">
      <c r="A73" s="253" t="s">
        <v>599</v>
      </c>
      <c r="B73" s="253"/>
      <c r="C73" s="253"/>
      <c r="D73" s="253"/>
      <c r="E73" s="253"/>
      <c r="F73" s="253"/>
    </row>
    <row r="74" spans="1:6" x14ac:dyDescent="0.3">
      <c r="A74" s="110" t="s">
        <v>600</v>
      </c>
      <c r="B74" s="288" t="s">
        <v>601</v>
      </c>
      <c r="C74" s="288"/>
      <c r="D74" s="288"/>
      <c r="E74" s="288"/>
      <c r="F74" s="110" t="s">
        <v>551</v>
      </c>
    </row>
    <row r="75" spans="1:6" x14ac:dyDescent="0.3">
      <c r="A75" s="127" t="s">
        <v>569</v>
      </c>
      <c r="B75" s="289" t="s">
        <v>602</v>
      </c>
      <c r="C75" s="289"/>
      <c r="D75" s="289"/>
      <c r="E75" s="289"/>
      <c r="F75" s="128">
        <f>$F$48</f>
        <v>220.28</v>
      </c>
    </row>
    <row r="76" spans="1:6" x14ac:dyDescent="0.3">
      <c r="A76" s="110" t="s">
        <v>576</v>
      </c>
      <c r="B76" s="288" t="s">
        <v>603</v>
      </c>
      <c r="C76" s="288"/>
      <c r="D76" s="288"/>
      <c r="E76" s="288"/>
      <c r="F76" s="113">
        <f>$F$59</f>
        <v>810.9</v>
      </c>
    </row>
    <row r="77" spans="1:6" x14ac:dyDescent="0.3">
      <c r="A77" s="127" t="s">
        <v>589</v>
      </c>
      <c r="B77" s="289" t="s">
        <v>590</v>
      </c>
      <c r="C77" s="289"/>
      <c r="D77" s="289"/>
      <c r="E77" s="289"/>
      <c r="F77" s="128">
        <f>$F$72</f>
        <v>600.53</v>
      </c>
    </row>
    <row r="78" spans="1:6" x14ac:dyDescent="0.3">
      <c r="A78" s="271" t="s">
        <v>604</v>
      </c>
      <c r="B78" s="271"/>
      <c r="C78" s="271"/>
      <c r="D78" s="271"/>
      <c r="E78" s="271"/>
      <c r="F78" s="119">
        <f>TRUNC(SUM(F75:F77),2)</f>
        <v>1631.71</v>
      </c>
    </row>
    <row r="79" spans="1:6" x14ac:dyDescent="0.3">
      <c r="A79" s="270"/>
      <c r="B79" s="270"/>
      <c r="C79" s="270"/>
      <c r="D79" s="270"/>
      <c r="E79" s="270"/>
      <c r="F79" s="270"/>
    </row>
    <row r="80" spans="1:6"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5.73</v>
      </c>
    </row>
    <row r="83" spans="1:6" x14ac:dyDescent="0.3">
      <c r="A83" s="117" t="s">
        <v>554</v>
      </c>
      <c r="B83" s="283" t="s">
        <v>608</v>
      </c>
      <c r="C83" s="283"/>
      <c r="D83" s="283"/>
      <c r="E83" s="208">
        <f>(8%*0.29%)</f>
        <v>2.32E-4</v>
      </c>
      <c r="F83" s="129">
        <f>TRUNC((($F$41+$F$48)*E83),2)</f>
        <v>0.51</v>
      </c>
    </row>
    <row r="84" spans="1:6" ht="16.5" customHeight="1" x14ac:dyDescent="0.3">
      <c r="A84" s="115" t="s">
        <v>556</v>
      </c>
      <c r="B84" s="290" t="s">
        <v>609</v>
      </c>
      <c r="C84" s="290"/>
      <c r="D84" s="290"/>
      <c r="E84" s="207">
        <f>(56.24%)*5.55%*40%*8%</f>
        <v>9.9882240000000004E-4</v>
      </c>
      <c r="F84" s="116">
        <f>TRUNC((($F$41+$F$48)*E84),2)</f>
        <v>2.2000000000000002</v>
      </c>
    </row>
    <row r="85" spans="1:6" x14ac:dyDescent="0.3">
      <c r="A85" s="117" t="s">
        <v>558</v>
      </c>
      <c r="B85" s="283" t="s">
        <v>610</v>
      </c>
      <c r="C85" s="283"/>
      <c r="D85" s="283"/>
      <c r="E85" s="208">
        <f>((56.24%)*94.45%*(7/30)/12)</f>
        <v>1.0328632222222222E-2</v>
      </c>
      <c r="F85" s="129">
        <f>TRUNC((($F$41+$F$48)*E85),2)</f>
        <v>22.76</v>
      </c>
    </row>
    <row r="86" spans="1:6" x14ac:dyDescent="0.3">
      <c r="A86" s="116" t="s">
        <v>560</v>
      </c>
      <c r="B86" s="291" t="s">
        <v>611</v>
      </c>
      <c r="C86" s="291"/>
      <c r="D86" s="291"/>
      <c r="E86" s="207">
        <f>1.03%*36.8%</f>
        <v>3.7904000000000002E-3</v>
      </c>
      <c r="F86" s="116">
        <f>TRUNC((($F$41+$F$48)*E86),2)</f>
        <v>8.35</v>
      </c>
    </row>
    <row r="87" spans="1:6" x14ac:dyDescent="0.3">
      <c r="A87" s="117" t="s">
        <v>562</v>
      </c>
      <c r="B87" s="283" t="s">
        <v>612</v>
      </c>
      <c r="C87" s="283"/>
      <c r="D87" s="283"/>
      <c r="E87" s="208">
        <f>(56.24%)*94.45%*40%*8%</f>
        <v>1.6997977600000002E-2</v>
      </c>
      <c r="F87" s="129">
        <f>TRUNC((($F$41+F48)*E87),2)</f>
        <v>37.450000000000003</v>
      </c>
    </row>
    <row r="88" spans="1:6" x14ac:dyDescent="0.3">
      <c r="A88" s="271" t="s">
        <v>613</v>
      </c>
      <c r="B88" s="271"/>
      <c r="C88" s="271"/>
      <c r="D88" s="271"/>
      <c r="E88" s="126">
        <f>SUM(E82:E87)</f>
        <v>3.4948932222222229E-2</v>
      </c>
      <c r="F88" s="119">
        <f>TRUNC(SUM(F82:F87),2)</f>
        <v>77</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30">
        <f t="shared" ref="F93:F98" si="1">TRUNC((($F$41+$F$78)*E93),2)</f>
        <v>0</v>
      </c>
    </row>
    <row r="94" spans="1:6" x14ac:dyDescent="0.3">
      <c r="A94" s="117" t="s">
        <v>554</v>
      </c>
      <c r="B94" s="283" t="s">
        <v>619</v>
      </c>
      <c r="C94" s="283"/>
      <c r="D94" s="283"/>
      <c r="E94" s="208">
        <f>(8/30)/12</f>
        <v>2.2222222222222223E-2</v>
      </c>
      <c r="F94" s="129">
        <f t="shared" si="1"/>
        <v>80.33</v>
      </c>
    </row>
    <row r="95" spans="1:6" x14ac:dyDescent="0.3">
      <c r="A95" s="115" t="s">
        <v>556</v>
      </c>
      <c r="B95" s="282" t="s">
        <v>620</v>
      </c>
      <c r="C95" s="282"/>
      <c r="D95" s="282"/>
      <c r="E95" s="207">
        <f>(((20/30)/12)*1.416%*45.22%)</f>
        <v>3.557306666666666E-4</v>
      </c>
      <c r="F95" s="130">
        <f t="shared" si="1"/>
        <v>1.28</v>
      </c>
    </row>
    <row r="96" spans="1:6" x14ac:dyDescent="0.3">
      <c r="A96" s="117" t="s">
        <v>558</v>
      </c>
      <c r="B96" s="283" t="s">
        <v>621</v>
      </c>
      <c r="C96" s="283"/>
      <c r="D96" s="283"/>
      <c r="E96" s="208">
        <f>((15/30)/12)*0.44%</f>
        <v>1.8333333333333334E-4</v>
      </c>
      <c r="F96" s="129">
        <f t="shared" si="1"/>
        <v>0.66</v>
      </c>
    </row>
    <row r="97" spans="1:6" x14ac:dyDescent="0.3">
      <c r="A97" s="115" t="s">
        <v>560</v>
      </c>
      <c r="B97" s="282" t="s">
        <v>622</v>
      </c>
      <c r="C97" s="282"/>
      <c r="D97" s="282"/>
      <c r="E97" s="207">
        <f>(((180/30)/12*1.416%*54.78%*36.8%))</f>
        <v>1.4272600319999999E-3</v>
      </c>
      <c r="F97" s="130">
        <f t="shared" si="1"/>
        <v>5.15</v>
      </c>
    </row>
    <row r="98" spans="1:6" x14ac:dyDescent="0.3">
      <c r="A98" s="117" t="s">
        <v>562</v>
      </c>
      <c r="B98" s="283" t="s">
        <v>623</v>
      </c>
      <c r="C98" s="283"/>
      <c r="D98" s="283"/>
      <c r="E98" s="208">
        <v>0</v>
      </c>
      <c r="F98" s="129">
        <f t="shared" si="1"/>
        <v>0</v>
      </c>
    </row>
    <row r="99" spans="1:6" x14ac:dyDescent="0.3">
      <c r="A99" s="271" t="s">
        <v>624</v>
      </c>
      <c r="B99" s="271"/>
      <c r="C99" s="271"/>
      <c r="D99" s="271"/>
      <c r="E99" s="126">
        <f>SUM(E93:E98)</f>
        <v>2.4188546254222225E-2</v>
      </c>
      <c r="F99" s="119">
        <f>TRUNC(SUM(F93:F98),2)</f>
        <v>87.42</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15" t="s">
        <v>552</v>
      </c>
      <c r="B102" s="292" t="s">
        <v>628</v>
      </c>
      <c r="C102" s="292"/>
      <c r="D102" s="292"/>
      <c r="E102" s="131" t="s">
        <v>629</v>
      </c>
      <c r="F102" s="116">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87.42</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87.42</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16">
        <f>Unif!I24</f>
        <v>173.02</v>
      </c>
    </row>
    <row r="112" spans="1:6" x14ac:dyDescent="0.3">
      <c r="A112" s="110" t="s">
        <v>554</v>
      </c>
      <c r="B112" s="285" t="s">
        <v>636</v>
      </c>
      <c r="C112" s="285"/>
      <c r="D112" s="285"/>
      <c r="E112" s="285"/>
      <c r="F112" s="118">
        <v>0</v>
      </c>
    </row>
    <row r="113" spans="1:6" x14ac:dyDescent="0.3">
      <c r="A113" s="127" t="s">
        <v>556</v>
      </c>
      <c r="B113" s="293" t="s">
        <v>637</v>
      </c>
      <c r="C113" s="293"/>
      <c r="D113" s="293"/>
      <c r="E113" s="293"/>
      <c r="F113" s="116">
        <v>0</v>
      </c>
    </row>
    <row r="114" spans="1:6" x14ac:dyDescent="0.3">
      <c r="A114" s="110" t="s">
        <v>558</v>
      </c>
      <c r="B114" s="285" t="s">
        <v>638</v>
      </c>
      <c r="C114" s="285"/>
      <c r="D114" s="285"/>
      <c r="E114" s="285"/>
      <c r="F114" s="118">
        <v>0</v>
      </c>
    </row>
    <row r="115" spans="1:6" x14ac:dyDescent="0.3">
      <c r="A115" s="271" t="s">
        <v>639</v>
      </c>
      <c r="B115" s="271"/>
      <c r="C115" s="271"/>
      <c r="D115" s="271"/>
      <c r="E115" s="271"/>
      <c r="F115" s="119">
        <f>TRUNC(SUM(F111:F114),2)</f>
        <v>173.02</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14" t="s">
        <v>551</v>
      </c>
    </row>
    <row r="119" spans="1:6" x14ac:dyDescent="0.3">
      <c r="A119" s="127" t="s">
        <v>552</v>
      </c>
      <c r="B119" s="293" t="s">
        <v>642</v>
      </c>
      <c r="C119" s="293"/>
      <c r="D119" s="293"/>
      <c r="E119" s="132">
        <f>'Salários.VA.VT.QteDias.LDI.T'!$G$46</f>
        <v>4.7300000000000002E-2</v>
      </c>
      <c r="F119" s="116">
        <f>TRUNC(($F$134*$E$119),2)</f>
        <v>186.95</v>
      </c>
    </row>
    <row r="120" spans="1:6" x14ac:dyDescent="0.3">
      <c r="A120" s="110" t="s">
        <v>554</v>
      </c>
      <c r="B120" s="285" t="s">
        <v>643</v>
      </c>
      <c r="C120" s="285"/>
      <c r="D120" s="285"/>
      <c r="E120" s="133">
        <f>'Salários.VA.VT.QteDias.LDI.T'!$G$47</f>
        <v>5.57E-2</v>
      </c>
      <c r="F120" s="118">
        <f>TRUNC((($F$134+$F$119)*E120),2)</f>
        <v>230.56</v>
      </c>
    </row>
    <row r="121" spans="1:6" x14ac:dyDescent="0.3">
      <c r="A121" s="274" t="s">
        <v>644</v>
      </c>
      <c r="B121" s="274"/>
      <c r="C121" s="274"/>
      <c r="D121" s="274"/>
      <c r="E121" s="71" t="s">
        <v>571</v>
      </c>
      <c r="F121" s="134" t="s">
        <v>551</v>
      </c>
    </row>
    <row r="122" spans="1:6" x14ac:dyDescent="0.3">
      <c r="A122" s="110" t="s">
        <v>552</v>
      </c>
      <c r="B122" s="285" t="s">
        <v>93</v>
      </c>
      <c r="C122" s="285"/>
      <c r="D122" s="285"/>
      <c r="E122" s="209">
        <v>6.4999999999999997E-3</v>
      </c>
      <c r="F122" s="118">
        <f>TRUNC(((($F$134+$F$119+$F$120)/0.9135)*E122),2)</f>
        <v>31.09</v>
      </c>
    </row>
    <row r="123" spans="1:6" x14ac:dyDescent="0.3">
      <c r="A123" s="68" t="s">
        <v>554</v>
      </c>
      <c r="B123" s="294" t="s">
        <v>645</v>
      </c>
      <c r="C123" s="294"/>
      <c r="D123" s="294"/>
      <c r="E123" s="210">
        <v>0.03</v>
      </c>
      <c r="F123" s="135">
        <f>TRUNC(((($F$134+$F$119+$F$120)/0.9135)*E123),2)</f>
        <v>143.51</v>
      </c>
    </row>
    <row r="124" spans="1:6" x14ac:dyDescent="0.3">
      <c r="A124" s="110" t="s">
        <v>556</v>
      </c>
      <c r="B124" s="285" t="s">
        <v>95</v>
      </c>
      <c r="C124" s="285"/>
      <c r="D124" s="285"/>
      <c r="E124" s="209">
        <v>0.05</v>
      </c>
      <c r="F124" s="118">
        <f>TRUNC(((($F$134+$F$119+$F$120)/0.9135)*E124),2)</f>
        <v>239.19</v>
      </c>
    </row>
    <row r="125" spans="1:6" x14ac:dyDescent="0.3">
      <c r="A125" s="271" t="s">
        <v>646</v>
      </c>
      <c r="B125" s="271"/>
      <c r="C125" s="271"/>
      <c r="D125" s="271"/>
      <c r="E125" s="126">
        <f>SUM(E122:E124)</f>
        <v>8.6499999999999994E-2</v>
      </c>
      <c r="F125" s="119">
        <f>TRUNC(SUM($F$119,$F$120,$F$122,$F$123,$F$124),2)</f>
        <v>831.3</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6" x14ac:dyDescent="0.3">
      <c r="A129" s="110" t="s">
        <v>552</v>
      </c>
      <c r="B129" s="285" t="s">
        <v>649</v>
      </c>
      <c r="C129" s="285"/>
      <c r="D129" s="285"/>
      <c r="E129" s="285"/>
      <c r="F129" s="113">
        <f>$F$41</f>
        <v>1983.35</v>
      </c>
    </row>
    <row r="130" spans="1:6" x14ac:dyDescent="0.3">
      <c r="A130" s="127" t="s">
        <v>554</v>
      </c>
      <c r="B130" s="293" t="s">
        <v>650</v>
      </c>
      <c r="C130" s="293"/>
      <c r="D130" s="293"/>
      <c r="E130" s="293"/>
      <c r="F130" s="128">
        <f>$F$78</f>
        <v>1631.71</v>
      </c>
    </row>
    <row r="131" spans="1:6" x14ac:dyDescent="0.3">
      <c r="A131" s="110" t="s">
        <v>556</v>
      </c>
      <c r="B131" s="285" t="s">
        <v>651</v>
      </c>
      <c r="C131" s="285"/>
      <c r="D131" s="285"/>
      <c r="E131" s="285"/>
      <c r="F131" s="113">
        <f>$F$88</f>
        <v>77</v>
      </c>
    </row>
    <row r="132" spans="1:6" x14ac:dyDescent="0.3">
      <c r="A132" s="127" t="s">
        <v>558</v>
      </c>
      <c r="B132" s="293" t="s">
        <v>652</v>
      </c>
      <c r="C132" s="293"/>
      <c r="D132" s="293"/>
      <c r="E132" s="293"/>
      <c r="F132" s="128">
        <f>$F$107</f>
        <v>87.42</v>
      </c>
    </row>
    <row r="133" spans="1:6" x14ac:dyDescent="0.3">
      <c r="A133" s="110" t="s">
        <v>560</v>
      </c>
      <c r="B133" s="285" t="s">
        <v>653</v>
      </c>
      <c r="C133" s="285"/>
      <c r="D133" s="285"/>
      <c r="E133" s="285"/>
      <c r="F133" s="113">
        <f>$F$115</f>
        <v>173.02</v>
      </c>
    </row>
    <row r="134" spans="1:6" x14ac:dyDescent="0.3">
      <c r="A134" s="286" t="s">
        <v>654</v>
      </c>
      <c r="B134" s="286"/>
      <c r="C134" s="286"/>
      <c r="D134" s="286"/>
      <c r="E134" s="286"/>
      <c r="F134" s="128">
        <f>TRUNC(SUM(F129:F133),2)</f>
        <v>3952.5</v>
      </c>
    </row>
    <row r="135" spans="1:6" x14ac:dyDescent="0.3">
      <c r="A135" s="110" t="s">
        <v>562</v>
      </c>
      <c r="B135" s="281" t="s">
        <v>655</v>
      </c>
      <c r="C135" s="281"/>
      <c r="D135" s="281"/>
      <c r="E135" s="281"/>
      <c r="F135" s="113">
        <f>TRUNC(($F$125),2)</f>
        <v>831.3</v>
      </c>
    </row>
    <row r="136" spans="1:6" ht="16.5" customHeight="1" x14ac:dyDescent="0.3">
      <c r="A136" s="286" t="s">
        <v>656</v>
      </c>
      <c r="B136" s="286"/>
      <c r="C136" s="286"/>
      <c r="D136" s="286"/>
      <c r="E136" s="286"/>
      <c r="F136" s="128">
        <f>TRUNC(($F$134 + $F$135),2)</f>
        <v>4783.8</v>
      </c>
    </row>
    <row r="137" spans="1:6" ht="16.5" customHeight="1" x14ac:dyDescent="0.3">
      <c r="A137" s="270"/>
      <c r="B137" s="270"/>
      <c r="C137" s="270"/>
      <c r="D137" s="270"/>
      <c r="E137" s="270"/>
      <c r="F137" s="270"/>
    </row>
    <row r="138" spans="1:6" ht="16.5" customHeight="1" x14ac:dyDescent="0.3">
      <c r="A138" s="223" t="s">
        <v>657</v>
      </c>
      <c r="B138" s="223"/>
      <c r="C138" s="223"/>
      <c r="D138" s="223"/>
      <c r="E138" s="223"/>
      <c r="F138" s="223"/>
    </row>
    <row r="139" spans="1:6" x14ac:dyDescent="0.3">
      <c r="A139" s="136" t="s">
        <v>658</v>
      </c>
      <c r="B139" s="111" t="s">
        <v>659</v>
      </c>
      <c r="C139" s="111" t="s">
        <v>660</v>
      </c>
      <c r="D139" s="111" t="s">
        <v>661</v>
      </c>
      <c r="E139" s="111" t="s">
        <v>662</v>
      </c>
      <c r="F139" s="111" t="s">
        <v>112</v>
      </c>
    </row>
    <row r="140" spans="1:6" ht="20.399999999999999" x14ac:dyDescent="0.3">
      <c r="A140" s="137" t="str">
        <f>$C$26</f>
        <v>Auxiliar Administrativo I</v>
      </c>
      <c r="B140" s="138">
        <f>$F$136</f>
        <v>4783.8</v>
      </c>
      <c r="C140" s="137">
        <f>$C$22</f>
        <v>2</v>
      </c>
      <c r="D140" s="137">
        <f>$C$18</f>
        <v>12</v>
      </c>
      <c r="E140" s="138">
        <f>TRUNC(($B$140 * $C$140),2)</f>
        <v>9567.6</v>
      </c>
      <c r="F140" s="138">
        <f>TRUNC(($D$140 * $E$140),2)</f>
        <v>114811.2</v>
      </c>
    </row>
    <row r="141" spans="1:6" x14ac:dyDescent="0.3">
      <c r="A141" s="139"/>
      <c r="B141" s="139"/>
      <c r="C141" s="139"/>
      <c r="D141" s="139"/>
      <c r="E141" s="139"/>
      <c r="F141" s="139"/>
    </row>
    <row r="142" spans="1:6" x14ac:dyDescent="0.3">
      <c r="A142" s="139"/>
      <c r="B142" s="139"/>
      <c r="C142" s="139"/>
      <c r="D142" s="139"/>
      <c r="E142" s="139"/>
      <c r="F142" s="139"/>
    </row>
    <row r="143" spans="1:6" x14ac:dyDescent="0.3">
      <c r="A143" s="32"/>
      <c r="B143" s="32"/>
      <c r="C143" s="32"/>
      <c r="D143" s="32"/>
      <c r="E143" s="32"/>
      <c r="F143" s="32"/>
    </row>
  </sheetData>
  <sheetProtection sheet="1" objects="1" scenarios="1"/>
  <protectedRanges>
    <protectedRange sqref="C10:F10 C13:F13 C15:F15 C16:F16 C17:F17 C28:F28 C30:F30 F35 F36 F37 F38 F39 F40 E53 F67 F69 F71 E82 E83 E84 E85 E86 E87 E94 E95 E96 E97 E98 E122 E123 E124" name="Intervalo1"/>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100-000000000000}"/>
    <hyperlink ref="C27" r:id="rId2" xr:uid="{00000000-0004-0000-1100-000001000000}"/>
  </hyperlinks>
  <pageMargins left="0.7" right="0.7" top="0.75" bottom="0.75" header="0.511811023622047" footer="0.511811023622047"/>
  <pageSetup paperSize="9" orientation="portrait" horizontalDpi="300" verticalDpi="300"/>
  <drawing r:id="rId3"/>
  <legacyDrawing r:id="rId4"/>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144"/>
  <sheetViews>
    <sheetView zoomScale="150" zoomScaleNormal="150" workbookViewId="0">
      <selection activeCell="C10" sqref="C10:F10"/>
    </sheetView>
  </sheetViews>
  <sheetFormatPr defaultColWidth="8.6640625" defaultRowHeight="14.4" x14ac:dyDescent="0.3"/>
  <cols>
    <col min="1" max="1" width="14.44140625" customWidth="1"/>
    <col min="2" max="2" width="19.44140625" customWidth="1"/>
    <col min="3" max="3" width="20.5546875" customWidth="1"/>
    <col min="4" max="4" width="18.5546875" customWidth="1"/>
    <col min="5" max="5" width="18.6640625" customWidth="1"/>
    <col min="6" max="6" width="18.5546875" customWidth="1"/>
  </cols>
  <sheetData>
    <row r="1" spans="1:6" x14ac:dyDescent="0.3">
      <c r="A1" s="295"/>
      <c r="B1" s="295"/>
      <c r="C1" s="295"/>
      <c r="D1" s="295"/>
      <c r="E1" s="295"/>
      <c r="F1" s="295"/>
    </row>
    <row r="2" spans="1:6" x14ac:dyDescent="0.3">
      <c r="A2" s="295"/>
      <c r="B2" s="295"/>
      <c r="C2" s="295"/>
      <c r="D2" s="295"/>
      <c r="E2" s="295"/>
      <c r="F2" s="295"/>
    </row>
    <row r="3" spans="1:6" x14ac:dyDescent="0.3">
      <c r="A3" s="295"/>
      <c r="B3" s="295"/>
      <c r="C3" s="295"/>
      <c r="D3" s="295"/>
      <c r="E3" s="295"/>
      <c r="F3" s="295"/>
    </row>
    <row r="4" spans="1:6" x14ac:dyDescent="0.3">
      <c r="A4" s="295"/>
      <c r="B4" s="295"/>
      <c r="C4" s="295"/>
      <c r="D4" s="295"/>
      <c r="E4" s="295"/>
      <c r="F4" s="295"/>
    </row>
    <row r="5" spans="1:6" x14ac:dyDescent="0.3">
      <c r="A5" s="295"/>
      <c r="B5" s="295"/>
      <c r="C5" s="295"/>
      <c r="D5" s="295"/>
      <c r="E5" s="295"/>
      <c r="F5" s="295"/>
    </row>
    <row r="6" spans="1:6" x14ac:dyDescent="0.3">
      <c r="A6" s="295"/>
      <c r="B6" s="295"/>
      <c r="C6" s="295"/>
      <c r="D6" s="295"/>
      <c r="E6" s="295"/>
      <c r="F6" s="295"/>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10" x14ac:dyDescent="0.3">
      <c r="A17" s="226"/>
      <c r="B17" s="226"/>
      <c r="C17" s="277" t="s">
        <v>533</v>
      </c>
      <c r="D17" s="277"/>
      <c r="E17" s="277"/>
      <c r="F17" s="277"/>
    </row>
    <row r="18" spans="1:10" x14ac:dyDescent="0.3">
      <c r="A18" s="274" t="s">
        <v>534</v>
      </c>
      <c r="B18" s="274"/>
      <c r="C18" s="274">
        <v>12</v>
      </c>
      <c r="D18" s="274"/>
      <c r="E18" s="274"/>
      <c r="F18" s="274"/>
    </row>
    <row r="19" spans="1:10" x14ac:dyDescent="0.3">
      <c r="A19" s="270"/>
      <c r="B19" s="270"/>
      <c r="C19" s="270"/>
      <c r="D19" s="270"/>
      <c r="E19" s="270"/>
      <c r="F19" s="270"/>
    </row>
    <row r="20" spans="1:10" x14ac:dyDescent="0.3">
      <c r="A20" s="271" t="s">
        <v>535</v>
      </c>
      <c r="B20" s="271"/>
      <c r="C20" s="271"/>
      <c r="D20" s="271"/>
      <c r="E20" s="271"/>
      <c r="F20" s="271"/>
    </row>
    <row r="21" spans="1:10" x14ac:dyDescent="0.3">
      <c r="A21" s="272" t="s">
        <v>536</v>
      </c>
      <c r="B21" s="272"/>
      <c r="C21" s="272" t="s">
        <v>537</v>
      </c>
      <c r="D21" s="272"/>
      <c r="E21" s="272"/>
      <c r="F21" s="272"/>
    </row>
    <row r="22" spans="1:10" ht="27" customHeight="1" x14ac:dyDescent="0.3">
      <c r="A22" s="227" t="s">
        <v>538</v>
      </c>
      <c r="B22" s="227"/>
      <c r="C22" s="274">
        <v>1</v>
      </c>
      <c r="D22" s="274"/>
      <c r="E22" s="274"/>
      <c r="F22" s="274"/>
    </row>
    <row r="23" spans="1:10" x14ac:dyDescent="0.3">
      <c r="A23" s="270"/>
      <c r="B23" s="270"/>
      <c r="C23" s="270"/>
      <c r="D23" s="270"/>
      <c r="E23" s="270"/>
      <c r="F23" s="270"/>
    </row>
    <row r="24" spans="1:10" x14ac:dyDescent="0.3">
      <c r="A24" s="271" t="s">
        <v>539</v>
      </c>
      <c r="B24" s="271"/>
      <c r="C24" s="271"/>
      <c r="D24" s="271"/>
      <c r="E24" s="271"/>
      <c r="F24" s="271"/>
    </row>
    <row r="25" spans="1:10" x14ac:dyDescent="0.3">
      <c r="A25" s="274" t="s">
        <v>540</v>
      </c>
      <c r="B25" s="274"/>
      <c r="C25" s="274"/>
      <c r="D25" s="274"/>
      <c r="E25" s="274"/>
      <c r="F25" s="274"/>
    </row>
    <row r="26" spans="1:10" ht="21" customHeight="1" x14ac:dyDescent="0.3">
      <c r="A26" s="226" t="s">
        <v>541</v>
      </c>
      <c r="B26" s="226"/>
      <c r="C26" s="272" t="s">
        <v>41</v>
      </c>
      <c r="D26" s="272"/>
      <c r="E26" s="272"/>
      <c r="F26" s="272"/>
    </row>
    <row r="27" spans="1:10" x14ac:dyDescent="0.3">
      <c r="A27" s="274" t="s">
        <v>542</v>
      </c>
      <c r="B27" s="274"/>
      <c r="C27" s="278" t="s">
        <v>543</v>
      </c>
      <c r="D27" s="278"/>
      <c r="E27" s="278"/>
      <c r="F27" s="278"/>
    </row>
    <row r="28" spans="1:10" x14ac:dyDescent="0.3">
      <c r="A28" s="272" t="s">
        <v>544</v>
      </c>
      <c r="B28" s="272"/>
      <c r="C28" s="279">
        <f>'Salários.VA.VT.QteDias.LDI.T'!D3</f>
        <v>2371.3200000000002</v>
      </c>
      <c r="D28" s="279"/>
      <c r="E28" s="279"/>
      <c r="F28" s="279"/>
    </row>
    <row r="29" spans="1:10" ht="24.75" customHeight="1" x14ac:dyDescent="0.3">
      <c r="A29" s="227" t="s">
        <v>545</v>
      </c>
      <c r="B29" s="227"/>
      <c r="C29" s="274" t="s">
        <v>546</v>
      </c>
      <c r="D29" s="274"/>
      <c r="E29" s="274"/>
      <c r="F29" s="274"/>
      <c r="J29" s="140"/>
    </row>
    <row r="30" spans="1:10" x14ac:dyDescent="0.3">
      <c r="A30" s="272" t="s">
        <v>547</v>
      </c>
      <c r="B30" s="272"/>
      <c r="C30" s="276" t="s">
        <v>548</v>
      </c>
      <c r="D30" s="276"/>
      <c r="E30" s="276"/>
      <c r="F30" s="276"/>
    </row>
    <row r="31" spans="1:10" x14ac:dyDescent="0.3">
      <c r="A31" s="280" t="s">
        <v>549</v>
      </c>
      <c r="B31" s="280"/>
      <c r="C31" s="280"/>
      <c r="D31" s="280"/>
      <c r="E31" s="280"/>
      <c r="F31" s="280"/>
    </row>
    <row r="32" spans="1:10"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41" t="s">
        <v>552</v>
      </c>
      <c r="B34" s="296" t="s">
        <v>553</v>
      </c>
      <c r="C34" s="296"/>
      <c r="D34" s="296"/>
      <c r="E34" s="296"/>
      <c r="F34" s="142">
        <f>$C$28</f>
        <v>2371.3200000000002</v>
      </c>
    </row>
    <row r="35" spans="1:6" x14ac:dyDescent="0.3">
      <c r="A35" s="143" t="s">
        <v>554</v>
      </c>
      <c r="B35" s="297" t="s">
        <v>555</v>
      </c>
      <c r="C35" s="297"/>
      <c r="D35" s="297"/>
      <c r="E35" s="297"/>
      <c r="F35" s="211">
        <v>0</v>
      </c>
    </row>
    <row r="36" spans="1:6" x14ac:dyDescent="0.3">
      <c r="A36" s="141" t="s">
        <v>556</v>
      </c>
      <c r="B36" s="298" t="s">
        <v>557</v>
      </c>
      <c r="C36" s="298"/>
      <c r="D36" s="298"/>
      <c r="E36" s="298"/>
      <c r="F36" s="212">
        <v>0</v>
      </c>
    </row>
    <row r="37" spans="1:6" x14ac:dyDescent="0.3">
      <c r="A37" s="143" t="s">
        <v>558</v>
      </c>
      <c r="B37" s="297" t="s">
        <v>559</v>
      </c>
      <c r="C37" s="297"/>
      <c r="D37" s="297"/>
      <c r="E37" s="297"/>
      <c r="F37" s="211">
        <v>0</v>
      </c>
    </row>
    <row r="38" spans="1:6" x14ac:dyDescent="0.3">
      <c r="A38" s="141" t="s">
        <v>560</v>
      </c>
      <c r="B38" s="296" t="s">
        <v>561</v>
      </c>
      <c r="C38" s="296"/>
      <c r="D38" s="296"/>
      <c r="E38" s="296"/>
      <c r="F38" s="212">
        <v>0</v>
      </c>
    </row>
    <row r="39" spans="1:6" x14ac:dyDescent="0.3">
      <c r="A39" s="143" t="s">
        <v>562</v>
      </c>
      <c r="B39" s="297" t="s">
        <v>563</v>
      </c>
      <c r="C39" s="297"/>
      <c r="D39" s="297"/>
      <c r="E39" s="297"/>
      <c r="F39" s="211">
        <v>0</v>
      </c>
    </row>
    <row r="40" spans="1:6" x14ac:dyDescent="0.3">
      <c r="A40" s="141" t="s">
        <v>564</v>
      </c>
      <c r="B40" s="296" t="s">
        <v>565</v>
      </c>
      <c r="C40" s="296"/>
      <c r="D40" s="296"/>
      <c r="E40" s="296"/>
      <c r="F40" s="212">
        <v>0</v>
      </c>
    </row>
    <row r="41" spans="1:6" x14ac:dyDescent="0.3">
      <c r="A41" s="271" t="s">
        <v>566</v>
      </c>
      <c r="B41" s="271"/>
      <c r="C41" s="271"/>
      <c r="D41" s="271"/>
      <c r="E41" s="271"/>
      <c r="F41" s="119">
        <f>TRUNC(SUM(F34:F40),2)</f>
        <v>2371.3200000000002</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99" t="s">
        <v>570</v>
      </c>
      <c r="C45" s="299"/>
      <c r="D45" s="299"/>
      <c r="E45" s="145" t="s">
        <v>571</v>
      </c>
      <c r="F45" s="145" t="s">
        <v>551</v>
      </c>
    </row>
    <row r="46" spans="1:6" x14ac:dyDescent="0.3">
      <c r="A46" s="141" t="s">
        <v>552</v>
      </c>
      <c r="B46" s="298" t="s">
        <v>572</v>
      </c>
      <c r="C46" s="298"/>
      <c r="D46" s="298"/>
      <c r="E46" s="146">
        <f>TRUNC((100/12),2)</f>
        <v>8.33</v>
      </c>
      <c r="F46" s="142">
        <f>TRUNC((F41*E46%),2)</f>
        <v>197.53</v>
      </c>
    </row>
    <row r="47" spans="1:6" x14ac:dyDescent="0.3">
      <c r="A47" s="143" t="s">
        <v>554</v>
      </c>
      <c r="B47" s="297" t="s">
        <v>573</v>
      </c>
      <c r="C47" s="297"/>
      <c r="D47" s="297"/>
      <c r="E47" s="147">
        <f>E46/3</f>
        <v>2.7766666666666668</v>
      </c>
      <c r="F47" s="144">
        <f>TRUNC((F41*E47%),2)</f>
        <v>65.84</v>
      </c>
    </row>
    <row r="48" spans="1:6" x14ac:dyDescent="0.3">
      <c r="A48" s="271" t="s">
        <v>574</v>
      </c>
      <c r="B48" s="271"/>
      <c r="C48" s="271"/>
      <c r="D48" s="271"/>
      <c r="E48" s="122">
        <f>SUM(E46:E47)</f>
        <v>11.106666666666667</v>
      </c>
      <c r="F48" s="119">
        <f>TRUNC((SUM(F46:F47)),2)</f>
        <v>263.37</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41" t="s">
        <v>552</v>
      </c>
      <c r="B51" s="296" t="s">
        <v>578</v>
      </c>
      <c r="C51" s="296"/>
      <c r="D51" s="296"/>
      <c r="E51" s="148">
        <v>0.2</v>
      </c>
      <c r="F51" s="116">
        <f t="shared" ref="F51:F58" si="0">TRUNC((($F$41+$F$48)*E51),2)</f>
        <v>526.92999999999995</v>
      </c>
    </row>
    <row r="52" spans="1:6" x14ac:dyDescent="0.3">
      <c r="A52" s="143" t="s">
        <v>554</v>
      </c>
      <c r="B52" s="297" t="s">
        <v>579</v>
      </c>
      <c r="C52" s="297"/>
      <c r="D52" s="297"/>
      <c r="E52" s="149">
        <v>2.5000000000000001E-2</v>
      </c>
      <c r="F52" s="118">
        <f t="shared" si="0"/>
        <v>65.86</v>
      </c>
    </row>
    <row r="53" spans="1:6" x14ac:dyDescent="0.3">
      <c r="A53" s="141" t="s">
        <v>556</v>
      </c>
      <c r="B53" s="296" t="s">
        <v>580</v>
      </c>
      <c r="C53" s="296"/>
      <c r="D53" s="296"/>
      <c r="E53" s="213">
        <v>0.03</v>
      </c>
      <c r="F53" s="116">
        <f t="shared" si="0"/>
        <v>79.040000000000006</v>
      </c>
    </row>
    <row r="54" spans="1:6" x14ac:dyDescent="0.3">
      <c r="A54" s="143" t="s">
        <v>558</v>
      </c>
      <c r="B54" s="297" t="s">
        <v>581</v>
      </c>
      <c r="C54" s="297"/>
      <c r="D54" s="297"/>
      <c r="E54" s="149">
        <v>1.4999999999999999E-2</v>
      </c>
      <c r="F54" s="118">
        <f t="shared" si="0"/>
        <v>39.520000000000003</v>
      </c>
    </row>
    <row r="55" spans="1:6" x14ac:dyDescent="0.3">
      <c r="A55" s="141" t="s">
        <v>560</v>
      </c>
      <c r="B55" s="296" t="s">
        <v>582</v>
      </c>
      <c r="C55" s="296"/>
      <c r="D55" s="296"/>
      <c r="E55" s="148">
        <v>0.01</v>
      </c>
      <c r="F55" s="116">
        <f t="shared" si="0"/>
        <v>26.34</v>
      </c>
    </row>
    <row r="56" spans="1:6" x14ac:dyDescent="0.3">
      <c r="A56" s="143" t="s">
        <v>562</v>
      </c>
      <c r="B56" s="297" t="s">
        <v>583</v>
      </c>
      <c r="C56" s="297"/>
      <c r="D56" s="297"/>
      <c r="E56" s="149">
        <v>6.0000000000000001E-3</v>
      </c>
      <c r="F56" s="118">
        <f t="shared" si="0"/>
        <v>15.8</v>
      </c>
    </row>
    <row r="57" spans="1:6" x14ac:dyDescent="0.3">
      <c r="A57" s="141" t="s">
        <v>564</v>
      </c>
      <c r="B57" s="296" t="s">
        <v>584</v>
      </c>
      <c r="C57" s="296"/>
      <c r="D57" s="296"/>
      <c r="E57" s="148">
        <v>2E-3</v>
      </c>
      <c r="F57" s="116">
        <f t="shared" si="0"/>
        <v>5.26</v>
      </c>
    </row>
    <row r="58" spans="1:6" x14ac:dyDescent="0.3">
      <c r="A58" s="143" t="s">
        <v>585</v>
      </c>
      <c r="B58" s="297" t="s">
        <v>586</v>
      </c>
      <c r="C58" s="297"/>
      <c r="D58" s="297"/>
      <c r="E58" s="149">
        <v>0.08</v>
      </c>
      <c r="F58" s="118">
        <f t="shared" si="0"/>
        <v>210.77</v>
      </c>
    </row>
    <row r="59" spans="1:6" x14ac:dyDescent="0.3">
      <c r="A59" s="271" t="s">
        <v>587</v>
      </c>
      <c r="B59" s="271"/>
      <c r="C59" s="271"/>
      <c r="D59" s="271"/>
      <c r="E59" s="126">
        <f>SUM(E51:E58)</f>
        <v>0.36800000000000005</v>
      </c>
      <c r="F59" s="119">
        <f>TRUNC((SUM(F51:F58)),2)</f>
        <v>969.52</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43" t="s">
        <v>551</v>
      </c>
    </row>
    <row r="63" spans="1:6" x14ac:dyDescent="0.3">
      <c r="A63" s="272"/>
      <c r="B63" s="113">
        <f>'Salários.VA.VT.QteDias.LDI.T'!H20</f>
        <v>4.5</v>
      </c>
      <c r="C63" s="110">
        <v>2</v>
      </c>
      <c r="D63" s="110">
        <f>'Salários.VA.VT.QteDias.LDI.T'!E41</f>
        <v>21</v>
      </c>
      <c r="E63" s="113">
        <f>TRUNC(($F$34*6%),2)</f>
        <v>142.27000000000001</v>
      </c>
      <c r="F63" s="144">
        <f>TRUNC(IF(E63&gt;=189,0,((B63*C63*D63)-E63)),2)</f>
        <v>46.73</v>
      </c>
    </row>
    <row r="64" spans="1:6" x14ac:dyDescent="0.3">
      <c r="A64" s="286" t="s">
        <v>554</v>
      </c>
      <c r="B64" s="286" t="s">
        <v>595</v>
      </c>
      <c r="C64" s="286"/>
      <c r="D64" s="127" t="s">
        <v>593</v>
      </c>
      <c r="E64" s="127" t="s">
        <v>594</v>
      </c>
      <c r="F64" s="141" t="s">
        <v>551</v>
      </c>
    </row>
    <row r="65" spans="1:8" x14ac:dyDescent="0.3">
      <c r="A65" s="286"/>
      <c r="B65" s="287">
        <f>'Salários.VA.VT.QteDias.LDI.T'!E20</f>
        <v>26.7</v>
      </c>
      <c r="C65" s="287"/>
      <c r="D65" s="127">
        <f>'Salários.VA.VT.QteDias.LDI.T'!E41</f>
        <v>21</v>
      </c>
      <c r="E65" s="128">
        <f>TRUNC(0.1*(B65*D65),2)</f>
        <v>56.07</v>
      </c>
      <c r="F65" s="142">
        <f>TRUNC(((B65*D65)-E65),2)</f>
        <v>504.63</v>
      </c>
    </row>
    <row r="66" spans="1:8" x14ac:dyDescent="0.3">
      <c r="A66" s="272" t="s">
        <v>556</v>
      </c>
      <c r="B66" s="297" t="s">
        <v>596</v>
      </c>
      <c r="C66" s="297"/>
      <c r="D66" s="297"/>
      <c r="E66" s="297"/>
      <c r="F66" s="143" t="s">
        <v>551</v>
      </c>
    </row>
    <row r="67" spans="1:8" x14ac:dyDescent="0.3">
      <c r="A67" s="272"/>
      <c r="B67" s="297"/>
      <c r="C67" s="297"/>
      <c r="D67" s="297"/>
      <c r="E67" s="297"/>
      <c r="F67" s="211">
        <v>6</v>
      </c>
    </row>
    <row r="68" spans="1:8" x14ac:dyDescent="0.3">
      <c r="A68" s="286" t="s">
        <v>558</v>
      </c>
      <c r="B68" s="296" t="s">
        <v>597</v>
      </c>
      <c r="C68" s="296"/>
      <c r="D68" s="296"/>
      <c r="E68" s="296"/>
      <c r="F68" s="141" t="s">
        <v>551</v>
      </c>
    </row>
    <row r="69" spans="1:8" x14ac:dyDescent="0.3">
      <c r="A69" s="286"/>
      <c r="B69" s="296"/>
      <c r="C69" s="296"/>
      <c r="D69" s="296"/>
      <c r="E69" s="296"/>
      <c r="F69" s="212">
        <v>19.899999999999999</v>
      </c>
    </row>
    <row r="70" spans="1:8" x14ac:dyDescent="0.3">
      <c r="A70" s="272" t="s">
        <v>560</v>
      </c>
      <c r="B70" s="297" t="s">
        <v>565</v>
      </c>
      <c r="C70" s="297"/>
      <c r="D70" s="297"/>
      <c r="E70" s="297"/>
      <c r="F70" s="143" t="s">
        <v>551</v>
      </c>
    </row>
    <row r="71" spans="1:8" x14ac:dyDescent="0.3">
      <c r="A71" s="272"/>
      <c r="B71" s="297"/>
      <c r="C71" s="297"/>
      <c r="D71" s="297"/>
      <c r="E71" s="297"/>
      <c r="F71" s="211">
        <v>0</v>
      </c>
    </row>
    <row r="72" spans="1:8" x14ac:dyDescent="0.3">
      <c r="A72" s="271" t="s">
        <v>598</v>
      </c>
      <c r="B72" s="271"/>
      <c r="C72" s="271"/>
      <c r="D72" s="271"/>
      <c r="E72" s="271"/>
      <c r="F72" s="119">
        <f>TRUNC(SUM(F63,F65,F67,F69,F71),2)</f>
        <v>577.26</v>
      </c>
    </row>
    <row r="73" spans="1:8" x14ac:dyDescent="0.3">
      <c r="A73" s="253" t="s">
        <v>599</v>
      </c>
      <c r="B73" s="253"/>
      <c r="C73" s="253"/>
      <c r="D73" s="253"/>
      <c r="E73" s="253"/>
      <c r="F73" s="253"/>
    </row>
    <row r="74" spans="1:8" x14ac:dyDescent="0.3">
      <c r="A74" s="110" t="s">
        <v>600</v>
      </c>
      <c r="B74" s="300" t="s">
        <v>601</v>
      </c>
      <c r="C74" s="300"/>
      <c r="D74" s="300"/>
      <c r="E74" s="300"/>
      <c r="F74" s="150" t="s">
        <v>551</v>
      </c>
      <c r="H74" s="151"/>
    </row>
    <row r="75" spans="1:8" x14ac:dyDescent="0.3">
      <c r="A75" s="127" t="s">
        <v>569</v>
      </c>
      <c r="B75" s="289" t="s">
        <v>602</v>
      </c>
      <c r="C75" s="289"/>
      <c r="D75" s="289"/>
      <c r="E75" s="289"/>
      <c r="F75" s="128">
        <f>$F$48</f>
        <v>263.37</v>
      </c>
    </row>
    <row r="76" spans="1:8" x14ac:dyDescent="0.3">
      <c r="A76" s="110" t="s">
        <v>576</v>
      </c>
      <c r="B76" s="288" t="s">
        <v>603</v>
      </c>
      <c r="C76" s="288"/>
      <c r="D76" s="288"/>
      <c r="E76" s="288"/>
      <c r="F76" s="113">
        <f>$F$59</f>
        <v>969.52</v>
      </c>
    </row>
    <row r="77" spans="1:8" x14ac:dyDescent="0.3">
      <c r="A77" s="127" t="s">
        <v>589</v>
      </c>
      <c r="B77" s="289" t="s">
        <v>590</v>
      </c>
      <c r="C77" s="289"/>
      <c r="D77" s="289"/>
      <c r="E77" s="289"/>
      <c r="F77" s="128">
        <f>$F$72</f>
        <v>577.26</v>
      </c>
    </row>
    <row r="78" spans="1:8" x14ac:dyDescent="0.3">
      <c r="A78" s="271" t="s">
        <v>604</v>
      </c>
      <c r="B78" s="271"/>
      <c r="C78" s="271"/>
      <c r="D78" s="271"/>
      <c r="E78" s="271"/>
      <c r="F78" s="119">
        <f>TRUNC(SUM(F75:F77),2)</f>
        <v>1810.15</v>
      </c>
    </row>
    <row r="79" spans="1:8" x14ac:dyDescent="0.3">
      <c r="A79" s="270"/>
      <c r="B79" s="270"/>
      <c r="C79" s="270"/>
      <c r="D79" s="270"/>
      <c r="E79" s="270"/>
      <c r="F79" s="270"/>
    </row>
    <row r="80" spans="1:8"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41" t="s">
        <v>552</v>
      </c>
      <c r="B82" s="296" t="s">
        <v>607</v>
      </c>
      <c r="C82" s="296"/>
      <c r="D82" s="296"/>
      <c r="E82" s="213">
        <f>(56.24%)*5.55%*(1/12)</f>
        <v>2.6010999999999999E-3</v>
      </c>
      <c r="F82" s="116">
        <f>TRUNC((($F$41+$F$48)*E82),2)</f>
        <v>6.85</v>
      </c>
    </row>
    <row r="83" spans="1:6" x14ac:dyDescent="0.3">
      <c r="A83" s="143" t="s">
        <v>554</v>
      </c>
      <c r="B83" s="297" t="s">
        <v>608</v>
      </c>
      <c r="C83" s="297"/>
      <c r="D83" s="297"/>
      <c r="E83" s="214">
        <f>(8%*0.29%)</f>
        <v>2.32E-4</v>
      </c>
      <c r="F83" s="129">
        <f>TRUNC((($F$41+$F$48)*E83),2)</f>
        <v>0.61</v>
      </c>
    </row>
    <row r="84" spans="1:6" x14ac:dyDescent="0.3">
      <c r="A84" s="141" t="s">
        <v>556</v>
      </c>
      <c r="B84" s="296" t="s">
        <v>609</v>
      </c>
      <c r="C84" s="296"/>
      <c r="D84" s="296"/>
      <c r="E84" s="213">
        <f>(56.24%)*5.55%*40%*8%</f>
        <v>9.9882240000000004E-4</v>
      </c>
      <c r="F84" s="116">
        <f>TRUNC((($F$41+$F$48)*E84),2)</f>
        <v>2.63</v>
      </c>
    </row>
    <row r="85" spans="1:6" x14ac:dyDescent="0.3">
      <c r="A85" s="143" t="s">
        <v>558</v>
      </c>
      <c r="B85" s="301" t="s">
        <v>610</v>
      </c>
      <c r="C85" s="301"/>
      <c r="D85" s="301"/>
      <c r="E85" s="214">
        <f>((56.24%)*94.45%*(7/30)/12)</f>
        <v>1.0328632222222222E-2</v>
      </c>
      <c r="F85" s="129">
        <f>TRUNC((($F$41+$F$48)*E85),2)</f>
        <v>27.21</v>
      </c>
    </row>
    <row r="86" spans="1:6" x14ac:dyDescent="0.3">
      <c r="A86" s="142" t="s">
        <v>560</v>
      </c>
      <c r="B86" s="302" t="s">
        <v>664</v>
      </c>
      <c r="C86" s="302"/>
      <c r="D86" s="302"/>
      <c r="E86" s="213">
        <f>1.03%*36.8%</f>
        <v>3.7904000000000002E-3</v>
      </c>
      <c r="F86" s="116">
        <f>TRUNC((($F$41+$F$48)*E86),2)</f>
        <v>9.98</v>
      </c>
    </row>
    <row r="87" spans="1:6" x14ac:dyDescent="0.3">
      <c r="A87" s="143" t="s">
        <v>560</v>
      </c>
      <c r="B87" s="297" t="s">
        <v>612</v>
      </c>
      <c r="C87" s="297"/>
      <c r="D87" s="297"/>
      <c r="E87" s="214">
        <f>(56.24%)*94.45%*40%*8%</f>
        <v>1.6997977600000002E-2</v>
      </c>
      <c r="F87" s="129">
        <f>TRUNC((($F$41+F48)*E87),2)</f>
        <v>44.78</v>
      </c>
    </row>
    <row r="88" spans="1:6" x14ac:dyDescent="0.3">
      <c r="A88" s="271" t="s">
        <v>613</v>
      </c>
      <c r="B88" s="271"/>
      <c r="C88" s="271"/>
      <c r="D88" s="271"/>
      <c r="E88" s="126">
        <f>SUM(E82:E87)</f>
        <v>3.4948932222222229E-2</v>
      </c>
      <c r="F88" s="119">
        <f>TRUNC(SUM(F82:F87),2)</f>
        <v>92.06</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41" t="s">
        <v>552</v>
      </c>
      <c r="B93" s="296" t="s">
        <v>618</v>
      </c>
      <c r="C93" s="296"/>
      <c r="D93" s="296"/>
      <c r="E93" s="148"/>
      <c r="F93" s="142">
        <f>TRUNC((($F$41+$F$78+$E$88)*E98),2)</f>
        <v>0</v>
      </c>
    </row>
    <row r="94" spans="1:6" x14ac:dyDescent="0.3">
      <c r="A94" s="143" t="s">
        <v>554</v>
      </c>
      <c r="B94" s="297" t="s">
        <v>619</v>
      </c>
      <c r="C94" s="297"/>
      <c r="D94" s="297"/>
      <c r="E94" s="214">
        <f>(8/30)/12</f>
        <v>2.2222222222222223E-2</v>
      </c>
      <c r="F94" s="144">
        <f>TRUNC((($F$41+$F$78+$F$88)*E94),2)</f>
        <v>94.96</v>
      </c>
    </row>
    <row r="95" spans="1:6" x14ac:dyDescent="0.3">
      <c r="A95" s="141" t="s">
        <v>556</v>
      </c>
      <c r="B95" s="296" t="s">
        <v>620</v>
      </c>
      <c r="C95" s="296"/>
      <c r="D95" s="296"/>
      <c r="E95" s="213">
        <f>(((20/30)/12)*1.416%*45.22%)</f>
        <v>3.557306666666666E-4</v>
      </c>
      <c r="F95" s="142">
        <f>TRUNC((($F$41+$F$78+$F$88)*E95),2)</f>
        <v>1.52</v>
      </c>
    </row>
    <row r="96" spans="1:6" x14ac:dyDescent="0.3">
      <c r="A96" s="143" t="s">
        <v>558</v>
      </c>
      <c r="B96" s="297" t="s">
        <v>621</v>
      </c>
      <c r="C96" s="297"/>
      <c r="D96" s="297"/>
      <c r="E96" s="214">
        <f>((15/30)/12)*0.44%</f>
        <v>1.8333333333333334E-4</v>
      </c>
      <c r="F96" s="144">
        <f>TRUNC((($F$41+$F$78+$F$88)*E96),2)</f>
        <v>0.78</v>
      </c>
    </row>
    <row r="97" spans="1:6" x14ac:dyDescent="0.3">
      <c r="A97" s="141" t="s">
        <v>560</v>
      </c>
      <c r="B97" s="296" t="s">
        <v>622</v>
      </c>
      <c r="C97" s="296"/>
      <c r="D97" s="296"/>
      <c r="E97" s="213">
        <f>(((180/30)/12*1.416%*54.78%*36.8%))</f>
        <v>1.4272600319999999E-3</v>
      </c>
      <c r="F97" s="142">
        <f>TRUNC((($F$41+F78+F88)*E97),2)</f>
        <v>6.09</v>
      </c>
    </row>
    <row r="98" spans="1:6" x14ac:dyDescent="0.3">
      <c r="A98" s="143" t="s">
        <v>562</v>
      </c>
      <c r="B98" s="297" t="s">
        <v>623</v>
      </c>
      <c r="C98" s="297"/>
      <c r="D98" s="297"/>
      <c r="E98" s="214">
        <v>0</v>
      </c>
      <c r="F98" s="144">
        <f>TRUNC((($F$41+$F$78+$E$88)*E98),2)</f>
        <v>0</v>
      </c>
    </row>
    <row r="99" spans="1:6" x14ac:dyDescent="0.3">
      <c r="A99" s="271" t="s">
        <v>624</v>
      </c>
      <c r="B99" s="271"/>
      <c r="C99" s="271"/>
      <c r="D99" s="271"/>
      <c r="E99" s="126">
        <f>SUM(E93:E98)</f>
        <v>2.4188546254222225E-2</v>
      </c>
      <c r="F99" s="119">
        <f>TRUNC(SUM(F93:F98),2)</f>
        <v>103.35</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41" t="s">
        <v>552</v>
      </c>
      <c r="B102" s="296" t="s">
        <v>628</v>
      </c>
      <c r="C102" s="296"/>
      <c r="D102" s="296"/>
      <c r="E102" s="152" t="s">
        <v>629</v>
      </c>
      <c r="F102" s="142">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103.35</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103.35</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42">
        <f>Unif!I48</f>
        <v>173.01</v>
      </c>
    </row>
    <row r="112" spans="1:6" x14ac:dyDescent="0.3">
      <c r="A112" s="110" t="s">
        <v>554</v>
      </c>
      <c r="B112" s="285" t="s">
        <v>636</v>
      </c>
      <c r="C112" s="285"/>
      <c r="D112" s="285"/>
      <c r="E112" s="285"/>
      <c r="F112" s="144">
        <v>0</v>
      </c>
    </row>
    <row r="113" spans="1:6" x14ac:dyDescent="0.3">
      <c r="A113" s="127" t="s">
        <v>556</v>
      </c>
      <c r="B113" s="293" t="s">
        <v>637</v>
      </c>
      <c r="C113" s="293"/>
      <c r="D113" s="293"/>
      <c r="E113" s="293"/>
      <c r="F113" s="142">
        <v>0</v>
      </c>
    </row>
    <row r="114" spans="1:6" x14ac:dyDescent="0.3">
      <c r="A114" s="110" t="s">
        <v>558</v>
      </c>
      <c r="B114" s="285" t="s">
        <v>638</v>
      </c>
      <c r="C114" s="285"/>
      <c r="D114" s="285"/>
      <c r="E114" s="285"/>
      <c r="F114" s="113">
        <v>0</v>
      </c>
    </row>
    <row r="115" spans="1:6" x14ac:dyDescent="0.3">
      <c r="A115" s="271" t="s">
        <v>639</v>
      </c>
      <c r="B115" s="271"/>
      <c r="C115" s="271"/>
      <c r="D115" s="271"/>
      <c r="E115" s="271"/>
      <c r="F115" s="119">
        <f>TRUNC(SUM(F111:F114),2)</f>
        <v>173.01</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53" t="s">
        <v>551</v>
      </c>
    </row>
    <row r="119" spans="1:6" x14ac:dyDescent="0.3">
      <c r="A119" s="127" t="s">
        <v>552</v>
      </c>
      <c r="B119" s="293" t="s">
        <v>642</v>
      </c>
      <c r="C119" s="293"/>
      <c r="D119" s="293"/>
      <c r="E119" s="154">
        <f>'Salários.VA.VT.QteDias.LDI.T'!$G$46</f>
        <v>4.7300000000000002E-2</v>
      </c>
      <c r="F119" s="155">
        <f>TRUNC(($F$134*$E$119),2)</f>
        <v>215.2</v>
      </c>
    </row>
    <row r="120" spans="1:6" x14ac:dyDescent="0.3">
      <c r="A120" s="110" t="s">
        <v>554</v>
      </c>
      <c r="B120" s="285" t="s">
        <v>643</v>
      </c>
      <c r="C120" s="285"/>
      <c r="D120" s="285"/>
      <c r="E120" s="133">
        <f>'Salários.VA.VT.QteDias.LDI.T'!$G$47</f>
        <v>5.57E-2</v>
      </c>
      <c r="F120" s="144">
        <f>TRUNC((($F$134+$F$119)*E120),2)</f>
        <v>265.41000000000003</v>
      </c>
    </row>
    <row r="121" spans="1:6" x14ac:dyDescent="0.3">
      <c r="A121" s="274" t="s">
        <v>644</v>
      </c>
      <c r="B121" s="274"/>
      <c r="C121" s="274"/>
      <c r="D121" s="274"/>
      <c r="E121" s="71" t="s">
        <v>571</v>
      </c>
      <c r="F121" s="156" t="s">
        <v>551</v>
      </c>
    </row>
    <row r="122" spans="1:6" x14ac:dyDescent="0.3">
      <c r="A122" s="110" t="s">
        <v>552</v>
      </c>
      <c r="B122" s="285" t="s">
        <v>93</v>
      </c>
      <c r="C122" s="285"/>
      <c r="D122" s="285"/>
      <c r="E122" s="209">
        <v>6.4999999999999997E-3</v>
      </c>
      <c r="F122" s="144">
        <f>TRUNC(((($F$134+$F$119+$F$120)/0.9135)*E122),2)</f>
        <v>35.79</v>
      </c>
    </row>
    <row r="123" spans="1:6" x14ac:dyDescent="0.3">
      <c r="A123" s="68" t="s">
        <v>554</v>
      </c>
      <c r="B123" s="294" t="s">
        <v>645</v>
      </c>
      <c r="C123" s="294"/>
      <c r="D123" s="294"/>
      <c r="E123" s="210">
        <v>0.03</v>
      </c>
      <c r="F123" s="155">
        <f>TRUNC(((($F$134+$F$119+$F$120)/0.9135)*E123),2)</f>
        <v>165.2</v>
      </c>
    </row>
    <row r="124" spans="1:6" x14ac:dyDescent="0.3">
      <c r="A124" s="110" t="s">
        <v>556</v>
      </c>
      <c r="B124" s="285" t="s">
        <v>95</v>
      </c>
      <c r="C124" s="285"/>
      <c r="D124" s="285"/>
      <c r="E124" s="209">
        <v>0.05</v>
      </c>
      <c r="F124" s="144">
        <f>TRUNC(((($F$134+$F$119+$F$120)/0.9135)*E124),2)</f>
        <v>275.33999999999997</v>
      </c>
    </row>
    <row r="125" spans="1:6" x14ac:dyDescent="0.3">
      <c r="A125" s="271" t="s">
        <v>646</v>
      </c>
      <c r="B125" s="271"/>
      <c r="C125" s="271"/>
      <c r="D125" s="271"/>
      <c r="E125" s="126">
        <f>SUM(E122:E124)</f>
        <v>8.6499999999999994E-2</v>
      </c>
      <c r="F125" s="119">
        <f>TRUNC(SUM($F$119,$F$120,$F$122,$F$123,$F$124),2)</f>
        <v>956.94</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8" x14ac:dyDescent="0.3">
      <c r="A129" s="110" t="s">
        <v>552</v>
      </c>
      <c r="B129" s="285" t="s">
        <v>649</v>
      </c>
      <c r="C129" s="285"/>
      <c r="D129" s="285"/>
      <c r="E129" s="285"/>
      <c r="F129" s="113">
        <f>$F$41</f>
        <v>2371.3200000000002</v>
      </c>
    </row>
    <row r="130" spans="1:8" x14ac:dyDescent="0.3">
      <c r="A130" s="127" t="s">
        <v>554</v>
      </c>
      <c r="B130" s="293" t="s">
        <v>650</v>
      </c>
      <c r="C130" s="293"/>
      <c r="D130" s="293"/>
      <c r="E130" s="293"/>
      <c r="F130" s="128">
        <f>$F$78</f>
        <v>1810.15</v>
      </c>
    </row>
    <row r="131" spans="1:8" x14ac:dyDescent="0.3">
      <c r="A131" s="110" t="s">
        <v>556</v>
      </c>
      <c r="B131" s="285" t="s">
        <v>651</v>
      </c>
      <c r="C131" s="285"/>
      <c r="D131" s="285"/>
      <c r="E131" s="285"/>
      <c r="F131" s="113">
        <f>$F$88</f>
        <v>92.06</v>
      </c>
    </row>
    <row r="132" spans="1:8" x14ac:dyDescent="0.3">
      <c r="A132" s="127" t="s">
        <v>558</v>
      </c>
      <c r="B132" s="293" t="s">
        <v>652</v>
      </c>
      <c r="C132" s="293"/>
      <c r="D132" s="293"/>
      <c r="E132" s="293"/>
      <c r="F132" s="128">
        <f>$F$107</f>
        <v>103.35</v>
      </c>
    </row>
    <row r="133" spans="1:8" x14ac:dyDescent="0.3">
      <c r="A133" s="110" t="s">
        <v>560</v>
      </c>
      <c r="B133" s="285" t="s">
        <v>653</v>
      </c>
      <c r="C133" s="285"/>
      <c r="D133" s="285"/>
      <c r="E133" s="285"/>
      <c r="F133" s="113">
        <f>$F$115</f>
        <v>173.01</v>
      </c>
    </row>
    <row r="134" spans="1:8" x14ac:dyDescent="0.3">
      <c r="A134" s="286" t="s">
        <v>654</v>
      </c>
      <c r="B134" s="286"/>
      <c r="C134" s="286"/>
      <c r="D134" s="286"/>
      <c r="E134" s="286"/>
      <c r="F134" s="128">
        <f>TRUNC(SUM(F129:F133),2)</f>
        <v>4549.8900000000003</v>
      </c>
    </row>
    <row r="135" spans="1:8" x14ac:dyDescent="0.3">
      <c r="A135" s="110" t="s">
        <v>562</v>
      </c>
      <c r="B135" s="281" t="s">
        <v>655</v>
      </c>
      <c r="C135" s="281"/>
      <c r="D135" s="281"/>
      <c r="E135" s="281"/>
      <c r="F135" s="113">
        <f>TRUNC(($F$125),2)</f>
        <v>956.94</v>
      </c>
    </row>
    <row r="136" spans="1:8" ht="16.5" customHeight="1" x14ac:dyDescent="0.3">
      <c r="A136" s="286" t="s">
        <v>656</v>
      </c>
      <c r="B136" s="286"/>
      <c r="C136" s="286"/>
      <c r="D136" s="286"/>
      <c r="E136" s="286"/>
      <c r="F136" s="128">
        <f>TRUNC(($F$134 + $F$135),2)</f>
        <v>5506.83</v>
      </c>
    </row>
    <row r="137" spans="1:8" ht="16.5" customHeight="1" x14ac:dyDescent="0.3">
      <c r="A137" s="270"/>
      <c r="B137" s="270"/>
      <c r="C137" s="270"/>
      <c r="D137" s="270"/>
      <c r="E137" s="270"/>
      <c r="F137" s="270"/>
      <c r="H137" s="151"/>
    </row>
    <row r="138" spans="1:8" ht="16.5" customHeight="1" x14ac:dyDescent="0.3">
      <c r="A138" s="223" t="s">
        <v>657</v>
      </c>
      <c r="B138" s="223"/>
      <c r="C138" s="223"/>
      <c r="D138" s="223"/>
      <c r="E138" s="223"/>
      <c r="F138" s="223"/>
    </row>
    <row r="139" spans="1:8" x14ac:dyDescent="0.3">
      <c r="A139" s="136" t="s">
        <v>658</v>
      </c>
      <c r="B139" s="111" t="s">
        <v>659</v>
      </c>
      <c r="C139" s="111" t="s">
        <v>660</v>
      </c>
      <c r="D139" s="111" t="s">
        <v>661</v>
      </c>
      <c r="E139" s="111" t="s">
        <v>662</v>
      </c>
      <c r="F139" s="111" t="s">
        <v>112</v>
      </c>
    </row>
    <row r="140" spans="1:8" ht="20.399999999999999" x14ac:dyDescent="0.3">
      <c r="A140" s="137" t="str">
        <f>$C$26</f>
        <v>Auxiliar Administrativo II</v>
      </c>
      <c r="B140" s="138">
        <f>$F$136</f>
        <v>5506.83</v>
      </c>
      <c r="C140" s="137">
        <f>$C$22</f>
        <v>1</v>
      </c>
      <c r="D140" s="137">
        <f>$C$18</f>
        <v>12</v>
      </c>
      <c r="E140" s="138">
        <f>TRUNC(($B$140 * $C$140),2)</f>
        <v>5506.83</v>
      </c>
      <c r="F140" s="138">
        <f>TRUNC(($D$140 * $E$140),2)</f>
        <v>66081.960000000006</v>
      </c>
    </row>
    <row r="141" spans="1:8" x14ac:dyDescent="0.3">
      <c r="A141" s="139"/>
      <c r="B141" s="139"/>
      <c r="C141" s="139"/>
      <c r="D141" s="139"/>
      <c r="E141" s="139"/>
      <c r="F141" s="139"/>
    </row>
    <row r="142" spans="1:8" x14ac:dyDescent="0.3">
      <c r="A142" s="139"/>
      <c r="B142" s="139"/>
      <c r="C142" s="139"/>
      <c r="D142" s="139"/>
      <c r="E142" s="139"/>
      <c r="F142" s="139"/>
    </row>
    <row r="143" spans="1:8" x14ac:dyDescent="0.3">
      <c r="A143" s="32"/>
      <c r="B143" s="32"/>
      <c r="C143" s="32"/>
      <c r="D143" s="32"/>
      <c r="E143" s="32"/>
      <c r="F143" s="32"/>
    </row>
    <row r="144" spans="1:8" x14ac:dyDescent="0.3">
      <c r="A144" s="32"/>
      <c r="B144" s="32"/>
      <c r="C144" s="32"/>
      <c r="D144" s="32"/>
      <c r="E144" s="32"/>
      <c r="F144" s="32"/>
    </row>
  </sheetData>
  <sheetProtection sheet="1" objects="1" scenarios="1"/>
  <protectedRanges>
    <protectedRange sqref="E122:E124" name="Intervalo6"/>
    <protectedRange sqref="E82:E87" name="Intervalo4"/>
    <protectedRange sqref="F35:F40 C30:F30 C28:F28"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200-000000000000}"/>
    <hyperlink ref="C27" r:id="rId2" xr:uid="{00000000-0004-0000-1200-000001000000}"/>
  </hyperlinks>
  <pageMargins left="0.7" right="0.7" top="0.75" bottom="0.75" header="0.511811023622047" footer="0.511811023622047"/>
  <pageSetup paperSize="9" orientation="portrait" horizontalDpi="300" verticalDpi="300"/>
  <drawing r:id="rId3"/>
  <legacyDrawing r:id="rId4"/>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43"/>
  <sheetViews>
    <sheetView zoomScale="140" zoomScaleNormal="140" workbookViewId="0">
      <selection activeCell="C10" sqref="C10:F10"/>
    </sheetView>
  </sheetViews>
  <sheetFormatPr defaultColWidth="8.6640625" defaultRowHeight="14.4" x14ac:dyDescent="0.3"/>
  <cols>
    <col min="1" max="1" width="14.44140625" customWidth="1"/>
    <col min="2" max="2" width="19.8867187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6" x14ac:dyDescent="0.3">
      <c r="A17" s="226"/>
      <c r="B17" s="226"/>
      <c r="C17" s="277" t="s">
        <v>533</v>
      </c>
      <c r="D17" s="277"/>
      <c r="E17" s="277"/>
      <c r="F17" s="277"/>
    </row>
    <row r="18" spans="1:6" x14ac:dyDescent="0.3">
      <c r="A18" s="274" t="s">
        <v>534</v>
      </c>
      <c r="B18" s="274"/>
      <c r="C18" s="274">
        <v>12</v>
      </c>
      <c r="D18" s="274"/>
      <c r="E18" s="274"/>
      <c r="F18" s="274"/>
    </row>
    <row r="19" spans="1:6" x14ac:dyDescent="0.3">
      <c r="A19" s="270"/>
      <c r="B19" s="270"/>
      <c r="C19" s="270"/>
      <c r="D19" s="270"/>
      <c r="E19" s="270"/>
      <c r="F19" s="270"/>
    </row>
    <row r="20" spans="1:6" x14ac:dyDescent="0.3">
      <c r="A20" s="271" t="s">
        <v>535</v>
      </c>
      <c r="B20" s="271"/>
      <c r="C20" s="271"/>
      <c r="D20" s="271"/>
      <c r="E20" s="271"/>
      <c r="F20" s="271"/>
    </row>
    <row r="21" spans="1:6" x14ac:dyDescent="0.3">
      <c r="A21" s="272" t="s">
        <v>536</v>
      </c>
      <c r="B21" s="272"/>
      <c r="C21" s="272" t="s">
        <v>537</v>
      </c>
      <c r="D21" s="272"/>
      <c r="E21" s="272"/>
      <c r="F21" s="272"/>
    </row>
    <row r="22" spans="1:6" ht="27" customHeight="1" x14ac:dyDescent="0.3">
      <c r="A22" s="227" t="s">
        <v>538</v>
      </c>
      <c r="B22" s="227"/>
      <c r="C22" s="274">
        <v>1</v>
      </c>
      <c r="D22" s="274"/>
      <c r="E22" s="274"/>
      <c r="F22" s="274"/>
    </row>
    <row r="23" spans="1:6" x14ac:dyDescent="0.3">
      <c r="A23" s="270"/>
      <c r="B23" s="270"/>
      <c r="C23" s="270"/>
      <c r="D23" s="270"/>
      <c r="E23" s="270"/>
      <c r="F23" s="270"/>
    </row>
    <row r="24" spans="1:6" x14ac:dyDescent="0.3">
      <c r="A24" s="271" t="s">
        <v>539</v>
      </c>
      <c r="B24" s="271"/>
      <c r="C24" s="271"/>
      <c r="D24" s="271"/>
      <c r="E24" s="271"/>
      <c r="F24" s="271"/>
    </row>
    <row r="25" spans="1:6" x14ac:dyDescent="0.3">
      <c r="A25" s="274" t="s">
        <v>540</v>
      </c>
      <c r="B25" s="274"/>
      <c r="C25" s="274"/>
      <c r="D25" s="274"/>
      <c r="E25" s="274"/>
      <c r="F25" s="274"/>
    </row>
    <row r="26" spans="1:6" ht="21" customHeight="1" x14ac:dyDescent="0.3">
      <c r="A26" s="226" t="s">
        <v>541</v>
      </c>
      <c r="B26" s="226"/>
      <c r="C26" s="272" t="s">
        <v>43</v>
      </c>
      <c r="D26" s="272"/>
      <c r="E26" s="272"/>
      <c r="F26" s="272"/>
    </row>
    <row r="27" spans="1:6" x14ac:dyDescent="0.3">
      <c r="A27" s="274" t="s">
        <v>542</v>
      </c>
      <c r="B27" s="274"/>
      <c r="C27" s="278" t="s">
        <v>543</v>
      </c>
      <c r="D27" s="278"/>
      <c r="E27" s="278"/>
      <c r="F27" s="278"/>
    </row>
    <row r="28" spans="1:6" x14ac:dyDescent="0.3">
      <c r="A28" s="272" t="s">
        <v>544</v>
      </c>
      <c r="B28" s="272"/>
      <c r="C28" s="279">
        <f>'Salários.VA.VT.QteDias.LDI.T'!E3</f>
        <v>3022.11</v>
      </c>
      <c r="D28" s="279"/>
      <c r="E28" s="279"/>
      <c r="F28" s="279"/>
    </row>
    <row r="29" spans="1:6" ht="24.75" customHeight="1" x14ac:dyDescent="0.3">
      <c r="A29" s="227" t="s">
        <v>545</v>
      </c>
      <c r="B29" s="227"/>
      <c r="C29" s="274" t="s">
        <v>546</v>
      </c>
      <c r="D29" s="274"/>
      <c r="E29" s="274"/>
      <c r="F29" s="274"/>
    </row>
    <row r="30" spans="1:6" x14ac:dyDescent="0.3">
      <c r="A30" s="272" t="s">
        <v>547</v>
      </c>
      <c r="B30" s="272"/>
      <c r="C30" s="276" t="s">
        <v>548</v>
      </c>
      <c r="D30" s="276"/>
      <c r="E30" s="276"/>
      <c r="F30" s="276"/>
    </row>
    <row r="31" spans="1:6" x14ac:dyDescent="0.3">
      <c r="A31" s="280" t="s">
        <v>549</v>
      </c>
      <c r="B31" s="280"/>
      <c r="C31" s="280"/>
      <c r="D31" s="280"/>
      <c r="E31" s="280"/>
      <c r="F31" s="280"/>
    </row>
    <row r="32" spans="1:6"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3022.11</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f>TRUNC((F34*0),2)</f>
        <v>0</v>
      </c>
    </row>
    <row r="41" spans="1:6" x14ac:dyDescent="0.3">
      <c r="A41" s="271" t="s">
        <v>566</v>
      </c>
      <c r="B41" s="271"/>
      <c r="C41" s="271"/>
      <c r="D41" s="271"/>
      <c r="E41" s="271"/>
      <c r="F41" s="119">
        <f>TRUNC(SUM(F34:F40),2)</f>
        <v>3022.11</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82" t="s">
        <v>572</v>
      </c>
      <c r="C46" s="282"/>
      <c r="D46" s="282"/>
      <c r="E46" s="120">
        <f>TRUNC((100/12),2)</f>
        <v>8.33</v>
      </c>
      <c r="F46" s="116">
        <f>TRUNC((F41*E46%),2)</f>
        <v>251.74</v>
      </c>
    </row>
    <row r="47" spans="1:6" x14ac:dyDescent="0.3">
      <c r="A47" s="117" t="s">
        <v>554</v>
      </c>
      <c r="B47" s="283" t="s">
        <v>573</v>
      </c>
      <c r="C47" s="283"/>
      <c r="D47" s="283"/>
      <c r="E47" s="121">
        <f>E46/3</f>
        <v>2.7766666666666668</v>
      </c>
      <c r="F47" s="118">
        <f>TRUNC((F41*E47%),2)</f>
        <v>83.91</v>
      </c>
    </row>
    <row r="48" spans="1:6" x14ac:dyDescent="0.3">
      <c r="A48" s="271" t="s">
        <v>574</v>
      </c>
      <c r="B48" s="271"/>
      <c r="C48" s="271"/>
      <c r="D48" s="271"/>
      <c r="E48" s="122">
        <f>SUM(E46:E47)</f>
        <v>11.106666666666667</v>
      </c>
      <c r="F48" s="119">
        <f>TRUNC((SUM(F46:F47)),2)</f>
        <v>335.65</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671.55</v>
      </c>
    </row>
    <row r="52" spans="1:6" x14ac:dyDescent="0.3">
      <c r="A52" s="117" t="s">
        <v>554</v>
      </c>
      <c r="B52" s="283" t="s">
        <v>579</v>
      </c>
      <c r="C52" s="283"/>
      <c r="D52" s="283"/>
      <c r="E52" s="124">
        <v>2.5000000000000001E-2</v>
      </c>
      <c r="F52" s="118">
        <f t="shared" si="0"/>
        <v>83.94</v>
      </c>
    </row>
    <row r="53" spans="1:6" x14ac:dyDescent="0.3">
      <c r="A53" s="115" t="s">
        <v>556</v>
      </c>
      <c r="B53" s="282" t="s">
        <v>580</v>
      </c>
      <c r="C53" s="282"/>
      <c r="D53" s="282"/>
      <c r="E53" s="207">
        <v>0.03</v>
      </c>
      <c r="F53" s="116">
        <f t="shared" si="0"/>
        <v>100.73</v>
      </c>
    </row>
    <row r="54" spans="1:6" x14ac:dyDescent="0.3">
      <c r="A54" s="117" t="s">
        <v>558</v>
      </c>
      <c r="B54" s="283" t="s">
        <v>581</v>
      </c>
      <c r="C54" s="283"/>
      <c r="D54" s="283"/>
      <c r="E54" s="124">
        <v>1.4999999999999999E-2</v>
      </c>
      <c r="F54" s="118">
        <f t="shared" si="0"/>
        <v>50.36</v>
      </c>
    </row>
    <row r="55" spans="1:6" x14ac:dyDescent="0.3">
      <c r="A55" s="115" t="s">
        <v>560</v>
      </c>
      <c r="B55" s="282" t="s">
        <v>582</v>
      </c>
      <c r="C55" s="282"/>
      <c r="D55" s="282"/>
      <c r="E55" s="123">
        <v>0.01</v>
      </c>
      <c r="F55" s="116">
        <f t="shared" si="0"/>
        <v>33.57</v>
      </c>
    </row>
    <row r="56" spans="1:6" x14ac:dyDescent="0.3">
      <c r="A56" s="117" t="s">
        <v>562</v>
      </c>
      <c r="B56" s="283" t="s">
        <v>583</v>
      </c>
      <c r="C56" s="283"/>
      <c r="D56" s="283"/>
      <c r="E56" s="124">
        <v>6.0000000000000001E-3</v>
      </c>
      <c r="F56" s="118">
        <f t="shared" si="0"/>
        <v>20.14</v>
      </c>
    </row>
    <row r="57" spans="1:6" x14ac:dyDescent="0.3">
      <c r="A57" s="115" t="s">
        <v>564</v>
      </c>
      <c r="B57" s="282" t="s">
        <v>584</v>
      </c>
      <c r="C57" s="282"/>
      <c r="D57" s="282"/>
      <c r="E57" s="123">
        <v>2E-3</v>
      </c>
      <c r="F57" s="116">
        <f t="shared" si="0"/>
        <v>6.71</v>
      </c>
    </row>
    <row r="58" spans="1:6" x14ac:dyDescent="0.3">
      <c r="A58" s="117" t="s">
        <v>585</v>
      </c>
      <c r="B58" s="283" t="s">
        <v>586</v>
      </c>
      <c r="C58" s="283"/>
      <c r="D58" s="283"/>
      <c r="E58" s="124">
        <v>0.08</v>
      </c>
      <c r="F58" s="118">
        <f t="shared" si="0"/>
        <v>268.62</v>
      </c>
    </row>
    <row r="59" spans="1:6" x14ac:dyDescent="0.3">
      <c r="A59" s="271" t="s">
        <v>587</v>
      </c>
      <c r="B59" s="271"/>
      <c r="C59" s="271"/>
      <c r="D59" s="271"/>
      <c r="E59" s="126">
        <f>SUM(E51:E58)</f>
        <v>0.36800000000000005</v>
      </c>
      <c r="F59" s="119">
        <f>TRUNC((SUM(F51:F58)),2)</f>
        <v>1235.6199999999999</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'Salários.VA.VT.QteDias.LDI.T'!E41</f>
        <v>21</v>
      </c>
      <c r="E63" s="113">
        <f>TRUNC(($F$34*6%),2)</f>
        <v>181.32</v>
      </c>
      <c r="F63" s="118">
        <f>TRUNC(IF(E63&gt;=189,0,((B63*C63*D63)-E63)),2)</f>
        <v>7.68</v>
      </c>
    </row>
    <row r="64" spans="1:6" x14ac:dyDescent="0.3">
      <c r="A64" s="286" t="s">
        <v>554</v>
      </c>
      <c r="B64" s="286" t="s">
        <v>595</v>
      </c>
      <c r="C64" s="286"/>
      <c r="D64" s="127" t="s">
        <v>593</v>
      </c>
      <c r="E64" s="127" t="s">
        <v>594</v>
      </c>
      <c r="F64" s="115" t="s">
        <v>551</v>
      </c>
    </row>
    <row r="65" spans="1:8" x14ac:dyDescent="0.3">
      <c r="A65" s="286"/>
      <c r="B65" s="287">
        <f>'Salários.VA.VT.QteDias.LDI.T'!E20</f>
        <v>26.7</v>
      </c>
      <c r="C65" s="287"/>
      <c r="D65" s="127">
        <f>'Salários.VA.VT.QteDias.LDI.T'!E41</f>
        <v>21</v>
      </c>
      <c r="E65" s="128">
        <f>TRUNC(0.1*(B65*D65),2)</f>
        <v>56.07</v>
      </c>
      <c r="F65" s="116">
        <f>TRUNC(((B65*D65)-E65),2)</f>
        <v>504.63</v>
      </c>
    </row>
    <row r="66" spans="1:8" x14ac:dyDescent="0.3">
      <c r="A66" s="272" t="s">
        <v>556</v>
      </c>
      <c r="B66" s="283" t="s">
        <v>596</v>
      </c>
      <c r="C66" s="283"/>
      <c r="D66" s="283"/>
      <c r="E66" s="283"/>
      <c r="F66" s="117" t="s">
        <v>551</v>
      </c>
    </row>
    <row r="67" spans="1:8" x14ac:dyDescent="0.3">
      <c r="A67" s="272"/>
      <c r="B67" s="283"/>
      <c r="C67" s="283"/>
      <c r="D67" s="283"/>
      <c r="E67" s="283"/>
      <c r="F67" s="205">
        <v>6</v>
      </c>
    </row>
    <row r="68" spans="1:8" x14ac:dyDescent="0.3">
      <c r="A68" s="286" t="s">
        <v>558</v>
      </c>
      <c r="B68" s="282" t="s">
        <v>597</v>
      </c>
      <c r="C68" s="282"/>
      <c r="D68" s="282"/>
      <c r="E68" s="282"/>
      <c r="F68" s="115" t="s">
        <v>551</v>
      </c>
    </row>
    <row r="69" spans="1:8" x14ac:dyDescent="0.3">
      <c r="A69" s="286"/>
      <c r="B69" s="282"/>
      <c r="C69" s="282"/>
      <c r="D69" s="282"/>
      <c r="E69" s="282"/>
      <c r="F69" s="206">
        <v>19.899999999999999</v>
      </c>
    </row>
    <row r="70" spans="1:8" x14ac:dyDescent="0.3">
      <c r="A70" s="272" t="s">
        <v>560</v>
      </c>
      <c r="B70" s="283" t="s">
        <v>565</v>
      </c>
      <c r="C70" s="283"/>
      <c r="D70" s="283"/>
      <c r="E70" s="283"/>
      <c r="F70" s="117" t="s">
        <v>551</v>
      </c>
    </row>
    <row r="71" spans="1:8" x14ac:dyDescent="0.3">
      <c r="A71" s="272"/>
      <c r="B71" s="283"/>
      <c r="C71" s="283"/>
      <c r="D71" s="283"/>
      <c r="E71" s="283"/>
      <c r="F71" s="205">
        <v>0</v>
      </c>
    </row>
    <row r="72" spans="1:8" x14ac:dyDescent="0.3">
      <c r="A72" s="271" t="s">
        <v>598</v>
      </c>
      <c r="B72" s="271"/>
      <c r="C72" s="271"/>
      <c r="D72" s="271"/>
      <c r="E72" s="271"/>
      <c r="F72" s="119">
        <f>TRUNC(SUM(F63,F65,F67,F69,F71),2)</f>
        <v>538.21</v>
      </c>
    </row>
    <row r="73" spans="1:8" x14ac:dyDescent="0.3">
      <c r="A73" s="253" t="s">
        <v>599</v>
      </c>
      <c r="B73" s="253"/>
      <c r="C73" s="253"/>
      <c r="D73" s="253"/>
      <c r="E73" s="253"/>
      <c r="F73" s="253"/>
    </row>
    <row r="74" spans="1:8" x14ac:dyDescent="0.3">
      <c r="A74" s="110" t="s">
        <v>600</v>
      </c>
      <c r="B74" s="288" t="s">
        <v>601</v>
      </c>
      <c r="C74" s="288"/>
      <c r="D74" s="288"/>
      <c r="E74" s="288"/>
      <c r="F74" s="110" t="s">
        <v>551</v>
      </c>
      <c r="H74" s="151"/>
    </row>
    <row r="75" spans="1:8" x14ac:dyDescent="0.3">
      <c r="A75" s="127" t="s">
        <v>569</v>
      </c>
      <c r="B75" s="289" t="s">
        <v>602</v>
      </c>
      <c r="C75" s="289"/>
      <c r="D75" s="289"/>
      <c r="E75" s="289"/>
      <c r="F75" s="128">
        <f>$F$48</f>
        <v>335.65</v>
      </c>
    </row>
    <row r="76" spans="1:8" x14ac:dyDescent="0.3">
      <c r="A76" s="110" t="s">
        <v>576</v>
      </c>
      <c r="B76" s="288" t="s">
        <v>603</v>
      </c>
      <c r="C76" s="288"/>
      <c r="D76" s="288"/>
      <c r="E76" s="288"/>
      <c r="F76" s="113">
        <f>$F$59</f>
        <v>1235.6199999999999</v>
      </c>
    </row>
    <row r="77" spans="1:8" x14ac:dyDescent="0.3">
      <c r="A77" s="127" t="s">
        <v>589</v>
      </c>
      <c r="B77" s="289" t="s">
        <v>590</v>
      </c>
      <c r="C77" s="289"/>
      <c r="D77" s="289"/>
      <c r="E77" s="289"/>
      <c r="F77" s="128">
        <f>$F$72</f>
        <v>538.21</v>
      </c>
    </row>
    <row r="78" spans="1:8" x14ac:dyDescent="0.3">
      <c r="A78" s="271" t="s">
        <v>604</v>
      </c>
      <c r="B78" s="271"/>
      <c r="C78" s="271"/>
      <c r="D78" s="271"/>
      <c r="E78" s="271"/>
      <c r="F78" s="119">
        <f>TRUNC(SUM(F75:F77),2)</f>
        <v>2109.48</v>
      </c>
    </row>
    <row r="79" spans="1:8" x14ac:dyDescent="0.3">
      <c r="A79" s="270"/>
      <c r="B79" s="270"/>
      <c r="C79" s="270"/>
      <c r="D79" s="270"/>
      <c r="E79" s="270"/>
      <c r="F79" s="270"/>
    </row>
    <row r="80" spans="1:8"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8.73</v>
      </c>
    </row>
    <row r="83" spans="1:6" x14ac:dyDescent="0.3">
      <c r="A83" s="117" t="s">
        <v>554</v>
      </c>
      <c r="B83" s="283" t="s">
        <v>608</v>
      </c>
      <c r="C83" s="283"/>
      <c r="D83" s="283"/>
      <c r="E83" s="208">
        <f>(8%*0.29%)</f>
        <v>2.32E-4</v>
      </c>
      <c r="F83" s="129">
        <f>TRUNC((($F$41+$F$48)*E83),2)</f>
        <v>0.77</v>
      </c>
    </row>
    <row r="84" spans="1:6" x14ac:dyDescent="0.3">
      <c r="A84" s="116" t="s">
        <v>556</v>
      </c>
      <c r="B84" s="291" t="s">
        <v>609</v>
      </c>
      <c r="C84" s="291"/>
      <c r="D84" s="291"/>
      <c r="E84" s="207">
        <f>(56.24%)*5.55%*40%*8%</f>
        <v>9.9882240000000004E-4</v>
      </c>
      <c r="F84" s="116">
        <f>TRUNC((($F$41+$F$48)*E84),2)</f>
        <v>3.35</v>
      </c>
    </row>
    <row r="85" spans="1:6" x14ac:dyDescent="0.3">
      <c r="A85" s="117" t="s">
        <v>558</v>
      </c>
      <c r="B85" s="283" t="s">
        <v>610</v>
      </c>
      <c r="C85" s="283"/>
      <c r="D85" s="283"/>
      <c r="E85" s="208">
        <f>((56.24%)*94.45%*(7/30)/12)</f>
        <v>1.0328632222222222E-2</v>
      </c>
      <c r="F85" s="129">
        <f>TRUNC((($F$41+$F$48)*E85),2)</f>
        <v>34.68</v>
      </c>
    </row>
    <row r="86" spans="1:6" x14ac:dyDescent="0.3">
      <c r="A86" s="116" t="s">
        <v>560</v>
      </c>
      <c r="B86" s="291" t="s">
        <v>611</v>
      </c>
      <c r="C86" s="291"/>
      <c r="D86" s="291"/>
      <c r="E86" s="207">
        <f>1.03%*36.8%</f>
        <v>3.7904000000000002E-3</v>
      </c>
      <c r="F86" s="116">
        <f>TRUNC((($F$41+$F$48)*E86),2)</f>
        <v>12.72</v>
      </c>
    </row>
    <row r="87" spans="1:6" x14ac:dyDescent="0.3">
      <c r="A87" s="117" t="s">
        <v>562</v>
      </c>
      <c r="B87" s="283" t="s">
        <v>612</v>
      </c>
      <c r="C87" s="283"/>
      <c r="D87" s="283"/>
      <c r="E87" s="208">
        <f>(56.24%)*94.45%*40%*8%</f>
        <v>1.6997977600000002E-2</v>
      </c>
      <c r="F87" s="129">
        <f>TRUNC((($F$41+F48)*E87),2)</f>
        <v>57.07</v>
      </c>
    </row>
    <row r="88" spans="1:6" x14ac:dyDescent="0.3">
      <c r="A88" s="271" t="s">
        <v>613</v>
      </c>
      <c r="B88" s="271"/>
      <c r="C88" s="271"/>
      <c r="D88" s="271"/>
      <c r="E88" s="126">
        <f>SUM(E82:E87)</f>
        <v>3.4948932222222229E-2</v>
      </c>
      <c r="F88" s="119">
        <f>TRUNC(SUM(F82:F87),2)</f>
        <v>117.32</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16">
        <f>TRUNC((($F$41+$F$78+$E$88)*E93),2)</f>
        <v>0</v>
      </c>
    </row>
    <row r="94" spans="1:6" x14ac:dyDescent="0.3">
      <c r="A94" s="117" t="s">
        <v>554</v>
      </c>
      <c r="B94" s="283" t="s">
        <v>619</v>
      </c>
      <c r="C94" s="283"/>
      <c r="D94" s="283"/>
      <c r="E94" s="208">
        <f>(8/30)/12</f>
        <v>2.2222222222222223E-2</v>
      </c>
      <c r="F94" s="118">
        <f>TRUNC((($F$41+$F$78+$F$88)*E94),2)</f>
        <v>116.64</v>
      </c>
    </row>
    <row r="95" spans="1:6" x14ac:dyDescent="0.3">
      <c r="A95" s="115" t="s">
        <v>556</v>
      </c>
      <c r="B95" s="282" t="s">
        <v>620</v>
      </c>
      <c r="C95" s="282"/>
      <c r="D95" s="282"/>
      <c r="E95" s="207">
        <f>(((20/30)/12)*1.416%*45.22%)</f>
        <v>3.557306666666666E-4</v>
      </c>
      <c r="F95" s="116">
        <f>TRUNC((($F$41+$F$78+$F$88)*E95),2)</f>
        <v>1.86</v>
      </c>
    </row>
    <row r="96" spans="1:6" x14ac:dyDescent="0.3">
      <c r="A96" s="117" t="s">
        <v>558</v>
      </c>
      <c r="B96" s="283" t="s">
        <v>621</v>
      </c>
      <c r="C96" s="283"/>
      <c r="D96" s="283"/>
      <c r="E96" s="208">
        <f>((15/30)/12)*0.44%</f>
        <v>1.8333333333333334E-4</v>
      </c>
      <c r="F96" s="118">
        <f>TRUNC((($F$41+$F$78+$F$88)*E96),2)</f>
        <v>0.96</v>
      </c>
    </row>
    <row r="97" spans="1:6" x14ac:dyDescent="0.3">
      <c r="A97" s="115" t="s">
        <v>560</v>
      </c>
      <c r="B97" s="282" t="s">
        <v>622</v>
      </c>
      <c r="C97" s="282"/>
      <c r="D97" s="282"/>
      <c r="E97" s="207">
        <f>(((180/30)/12*1.416%*54.78%*36.8%))</f>
        <v>1.4272600319999999E-3</v>
      </c>
      <c r="F97" s="116">
        <f>TRUNC((($F$41+$F$78+$F$88)*E97),2)</f>
        <v>7.49</v>
      </c>
    </row>
    <row r="98" spans="1:6" x14ac:dyDescent="0.3">
      <c r="A98" s="117" t="s">
        <v>562</v>
      </c>
      <c r="B98" s="283" t="s">
        <v>623</v>
      </c>
      <c r="C98" s="283"/>
      <c r="D98" s="283"/>
      <c r="E98" s="208">
        <v>0</v>
      </c>
      <c r="F98" s="118">
        <f>TRUNC((($F$41+$F$78+$E$88)*E98),2)</f>
        <v>0</v>
      </c>
    </row>
    <row r="99" spans="1:6" x14ac:dyDescent="0.3">
      <c r="A99" s="271" t="s">
        <v>624</v>
      </c>
      <c r="B99" s="271"/>
      <c r="C99" s="271"/>
      <c r="D99" s="271"/>
      <c r="E99" s="126">
        <f>SUM(E93:E98)</f>
        <v>2.4188546254222225E-2</v>
      </c>
      <c r="F99" s="119">
        <f>TRUNC(SUM(F93:F98),2)</f>
        <v>126.95</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15" t="s">
        <v>552</v>
      </c>
      <c r="B102" s="282" t="s">
        <v>628</v>
      </c>
      <c r="C102" s="282"/>
      <c r="D102" s="282"/>
      <c r="E102" s="131" t="s">
        <v>629</v>
      </c>
      <c r="F102" s="116">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126.95</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126.95</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Unif!I71</f>
        <v>173.01</v>
      </c>
    </row>
    <row r="112" spans="1:6" x14ac:dyDescent="0.3">
      <c r="A112" s="110" t="s">
        <v>554</v>
      </c>
      <c r="B112" s="285" t="s">
        <v>636</v>
      </c>
      <c r="C112" s="285"/>
      <c r="D112" s="285"/>
      <c r="E112" s="285"/>
      <c r="F112" s="118">
        <v>0</v>
      </c>
    </row>
    <row r="113" spans="1:6" x14ac:dyDescent="0.3">
      <c r="A113" s="127" t="s">
        <v>556</v>
      </c>
      <c r="B113" s="293" t="s">
        <v>637</v>
      </c>
      <c r="C113" s="293"/>
      <c r="D113" s="293"/>
      <c r="E113" s="293"/>
      <c r="F113" s="116">
        <v>0</v>
      </c>
    </row>
    <row r="114" spans="1:6" x14ac:dyDescent="0.3">
      <c r="A114" s="110" t="s">
        <v>558</v>
      </c>
      <c r="B114" s="285" t="s">
        <v>638</v>
      </c>
      <c r="C114" s="285"/>
      <c r="D114" s="285"/>
      <c r="E114" s="285"/>
      <c r="F114" s="118">
        <v>0</v>
      </c>
    </row>
    <row r="115" spans="1:6" x14ac:dyDescent="0.3">
      <c r="A115" s="271" t="s">
        <v>639</v>
      </c>
      <c r="B115" s="271"/>
      <c r="C115" s="271"/>
      <c r="D115" s="271"/>
      <c r="E115" s="271"/>
      <c r="F115" s="119">
        <f>TRUNC(SUM(F111:F114),2)</f>
        <v>173.01</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57" t="s">
        <v>551</v>
      </c>
    </row>
    <row r="119" spans="1:6" x14ac:dyDescent="0.3">
      <c r="A119" s="127" t="s">
        <v>552</v>
      </c>
      <c r="B119" s="293" t="s">
        <v>642</v>
      </c>
      <c r="C119" s="293"/>
      <c r="D119" s="293"/>
      <c r="E119" s="154">
        <f>'Salários.VA.VT.QteDias.LDI.T'!$G$46</f>
        <v>4.7300000000000002E-2</v>
      </c>
      <c r="F119" s="116">
        <f>TRUNC(($F$134*$E$119),2)</f>
        <v>262.45999999999998</v>
      </c>
    </row>
    <row r="120" spans="1:6" x14ac:dyDescent="0.3">
      <c r="A120" s="110" t="s">
        <v>554</v>
      </c>
      <c r="B120" s="285" t="s">
        <v>643</v>
      </c>
      <c r="C120" s="285"/>
      <c r="D120" s="285"/>
      <c r="E120" s="133">
        <f>'Salários.VA.VT.QteDias.LDI.T'!$G$47</f>
        <v>5.57E-2</v>
      </c>
      <c r="F120" s="118">
        <f>TRUNC((($F$134+$F$119) * E120),2)</f>
        <v>323.69</v>
      </c>
    </row>
    <row r="121" spans="1:6" x14ac:dyDescent="0.3">
      <c r="A121" s="274" t="s">
        <v>644</v>
      </c>
      <c r="B121" s="274"/>
      <c r="C121" s="274"/>
      <c r="D121" s="274"/>
      <c r="E121" s="71" t="s">
        <v>571</v>
      </c>
      <c r="F121" s="134" t="s">
        <v>551</v>
      </c>
    </row>
    <row r="122" spans="1:6" x14ac:dyDescent="0.3">
      <c r="A122" s="110" t="s">
        <v>552</v>
      </c>
      <c r="B122" s="285" t="s">
        <v>93</v>
      </c>
      <c r="C122" s="285"/>
      <c r="D122" s="285"/>
      <c r="E122" s="209">
        <v>6.4999999999999997E-3</v>
      </c>
      <c r="F122" s="118">
        <f>TRUNC(((($F$134 + $F$119 + $F$120 ) / 0.9135) * E122),2)</f>
        <v>43.65</v>
      </c>
    </row>
    <row r="123" spans="1:6" x14ac:dyDescent="0.3">
      <c r="A123" s="68" t="s">
        <v>554</v>
      </c>
      <c r="B123" s="294" t="s">
        <v>645</v>
      </c>
      <c r="C123" s="294"/>
      <c r="D123" s="294"/>
      <c r="E123" s="210">
        <v>0.03</v>
      </c>
      <c r="F123" s="135">
        <f>TRUNC(((($F$134 + $F$119 + $F$120 ) / 0.9135) * E123),2)</f>
        <v>201.47</v>
      </c>
    </row>
    <row r="124" spans="1:6" x14ac:dyDescent="0.3">
      <c r="A124" s="110" t="s">
        <v>556</v>
      </c>
      <c r="B124" s="285" t="s">
        <v>95</v>
      </c>
      <c r="C124" s="285"/>
      <c r="D124" s="285"/>
      <c r="E124" s="209">
        <v>0.05</v>
      </c>
      <c r="F124" s="118">
        <f>TRUNC(((($F$134 + $F$119 + $F$120 ) / 0.9135) * E124),2)</f>
        <v>335.79</v>
      </c>
    </row>
    <row r="125" spans="1:6" x14ac:dyDescent="0.3">
      <c r="A125" s="271" t="s">
        <v>646</v>
      </c>
      <c r="B125" s="271"/>
      <c r="C125" s="271"/>
      <c r="D125" s="271"/>
      <c r="E125" s="126">
        <f>SUM(E122:E124)</f>
        <v>8.6499999999999994E-2</v>
      </c>
      <c r="F125" s="119">
        <f>TRUNC(SUM($F$119,$F$120,$F$122,$F$123,$F$124),2)</f>
        <v>1167.06</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8" x14ac:dyDescent="0.3">
      <c r="A129" s="110" t="s">
        <v>552</v>
      </c>
      <c r="B129" s="285" t="s">
        <v>649</v>
      </c>
      <c r="C129" s="285"/>
      <c r="D129" s="285"/>
      <c r="E129" s="285"/>
      <c r="F129" s="113">
        <f>$F$41</f>
        <v>3022.11</v>
      </c>
    </row>
    <row r="130" spans="1:8" x14ac:dyDescent="0.3">
      <c r="A130" s="127" t="s">
        <v>554</v>
      </c>
      <c r="B130" s="293" t="s">
        <v>650</v>
      </c>
      <c r="C130" s="293"/>
      <c r="D130" s="293"/>
      <c r="E130" s="293"/>
      <c r="F130" s="128">
        <f>$F$78</f>
        <v>2109.48</v>
      </c>
    </row>
    <row r="131" spans="1:8" x14ac:dyDescent="0.3">
      <c r="A131" s="110" t="s">
        <v>556</v>
      </c>
      <c r="B131" s="285" t="s">
        <v>651</v>
      </c>
      <c r="C131" s="285"/>
      <c r="D131" s="285"/>
      <c r="E131" s="285"/>
      <c r="F131" s="113">
        <f>$F$88</f>
        <v>117.32</v>
      </c>
    </row>
    <row r="132" spans="1:8" x14ac:dyDescent="0.3">
      <c r="A132" s="127" t="s">
        <v>558</v>
      </c>
      <c r="B132" s="293" t="s">
        <v>652</v>
      </c>
      <c r="C132" s="293"/>
      <c r="D132" s="293"/>
      <c r="E132" s="293"/>
      <c r="F132" s="128">
        <f>$F$107</f>
        <v>126.95</v>
      </c>
    </row>
    <row r="133" spans="1:8" x14ac:dyDescent="0.3">
      <c r="A133" s="110" t="s">
        <v>560</v>
      </c>
      <c r="B133" s="285" t="s">
        <v>653</v>
      </c>
      <c r="C133" s="285"/>
      <c r="D133" s="285"/>
      <c r="E133" s="285"/>
      <c r="F133" s="113">
        <f>$F$115</f>
        <v>173.01</v>
      </c>
    </row>
    <row r="134" spans="1:8" x14ac:dyDescent="0.3">
      <c r="A134" s="286" t="s">
        <v>654</v>
      </c>
      <c r="B134" s="286"/>
      <c r="C134" s="286"/>
      <c r="D134" s="286"/>
      <c r="E134" s="286"/>
      <c r="F134" s="128">
        <f>TRUNC(SUM(F129:F133),2)</f>
        <v>5548.87</v>
      </c>
    </row>
    <row r="135" spans="1:8" x14ac:dyDescent="0.3">
      <c r="A135" s="110" t="s">
        <v>562</v>
      </c>
      <c r="B135" s="281" t="s">
        <v>655</v>
      </c>
      <c r="C135" s="281"/>
      <c r="D135" s="281"/>
      <c r="E135" s="281"/>
      <c r="F135" s="113">
        <f>TRUNC(($F$125),2)</f>
        <v>1167.06</v>
      </c>
    </row>
    <row r="136" spans="1:8" ht="16.5" customHeight="1" x14ac:dyDescent="0.3">
      <c r="A136" s="286" t="s">
        <v>656</v>
      </c>
      <c r="B136" s="286"/>
      <c r="C136" s="286"/>
      <c r="D136" s="286"/>
      <c r="E136" s="286"/>
      <c r="F136" s="128">
        <f>TRUNC(($F$134 + $F$135),2)</f>
        <v>6715.93</v>
      </c>
    </row>
    <row r="137" spans="1:8" ht="16.5" customHeight="1" x14ac:dyDescent="0.3">
      <c r="A137" s="270"/>
      <c r="B137" s="270"/>
      <c r="C137" s="270"/>
      <c r="D137" s="270"/>
      <c r="E137" s="270"/>
      <c r="F137" s="270"/>
      <c r="H137" s="151"/>
    </row>
    <row r="138" spans="1:8" ht="16.5" customHeight="1" x14ac:dyDescent="0.3">
      <c r="A138" s="223" t="s">
        <v>657</v>
      </c>
      <c r="B138" s="223"/>
      <c r="C138" s="223"/>
      <c r="D138" s="223"/>
      <c r="E138" s="223"/>
      <c r="F138" s="223"/>
    </row>
    <row r="139" spans="1:8" x14ac:dyDescent="0.3">
      <c r="A139" s="136" t="s">
        <v>658</v>
      </c>
      <c r="B139" s="111" t="s">
        <v>659</v>
      </c>
      <c r="C139" s="111" t="s">
        <v>660</v>
      </c>
      <c r="D139" s="111" t="s">
        <v>661</v>
      </c>
      <c r="E139" s="111" t="s">
        <v>662</v>
      </c>
      <c r="F139" s="111" t="s">
        <v>112</v>
      </c>
    </row>
    <row r="140" spans="1:8" ht="20.399999999999999" x14ac:dyDescent="0.3">
      <c r="A140" s="137" t="str">
        <f>$C$26</f>
        <v>Auxiliar Administrativo III</v>
      </c>
      <c r="B140" s="138">
        <f>$F$136</f>
        <v>6715.93</v>
      </c>
      <c r="C140" s="137">
        <f>$C$22</f>
        <v>1</v>
      </c>
      <c r="D140" s="137">
        <f>$C$18</f>
        <v>12</v>
      </c>
      <c r="E140" s="138">
        <f>TRUNC(($B$140 * $C$140),2)</f>
        <v>6715.93</v>
      </c>
      <c r="F140" s="138">
        <f>TRUNC(($D$140 * $E$140),2)</f>
        <v>80591.16</v>
      </c>
    </row>
    <row r="141" spans="1:8" x14ac:dyDescent="0.3">
      <c r="A141" s="139"/>
      <c r="B141" s="139"/>
      <c r="C141" s="139"/>
      <c r="D141" s="139"/>
      <c r="E141" s="139"/>
      <c r="F141" s="139"/>
    </row>
    <row r="142" spans="1:8" x14ac:dyDescent="0.3">
      <c r="A142" s="139"/>
      <c r="B142" s="139"/>
      <c r="C142" s="139"/>
      <c r="D142" s="139"/>
      <c r="E142" s="139"/>
      <c r="F142" s="139"/>
    </row>
    <row r="143" spans="1:8" x14ac:dyDescent="0.3">
      <c r="A143" s="32"/>
      <c r="B143" s="32"/>
      <c r="C143" s="32"/>
      <c r="D143" s="32"/>
      <c r="E143" s="32"/>
      <c r="F143" s="32"/>
    </row>
  </sheetData>
  <sheetProtection sheet="1" objects="1" scenarios="1"/>
  <protectedRanges>
    <protectedRange sqref="E94:E98" name="Intervalo5"/>
    <protectedRange sqref="E53 F67 F69 F71" name="Intervalo3"/>
    <protectedRange sqref="C10:F10 C13:F13 C15:F15 C16:F16 C17:F17" name="Intervalo1"/>
    <protectedRange sqref="F35:F40 C28:F28 C30:F30" name="Intervalo2"/>
    <protectedRange sqref="E82:E87" name="Intervalo4"/>
    <protectedRange sqref="E122:E124" name="Intervalo6"/>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300-000000000000}"/>
    <hyperlink ref="C27" r:id="rId2" xr:uid="{00000000-0004-0000-1300-000001000000}"/>
  </hyperlinks>
  <pageMargins left="0.7" right="0.7" top="0.75" bottom="0.75" header="0.511811023622047" footer="0.511811023622047"/>
  <pageSetup paperSize="9" orientation="portrait" horizontalDpi="300" verticalDpi="300"/>
  <drawing r:id="rId3"/>
  <legacyDrawing r:id="rId4"/>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142"/>
  <sheetViews>
    <sheetView zoomScale="150" zoomScaleNormal="15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ht="15" customHeight="1"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7" x14ac:dyDescent="0.3">
      <c r="A17" s="226"/>
      <c r="B17" s="226"/>
      <c r="C17" s="277" t="s">
        <v>533</v>
      </c>
      <c r="D17" s="277"/>
      <c r="E17" s="277"/>
      <c r="F17" s="277"/>
    </row>
    <row r="18" spans="1:7" x14ac:dyDescent="0.3">
      <c r="A18" s="274" t="s">
        <v>534</v>
      </c>
      <c r="B18" s="274"/>
      <c r="C18" s="274">
        <v>12</v>
      </c>
      <c r="D18" s="274"/>
      <c r="E18" s="274"/>
      <c r="F18" s="274"/>
    </row>
    <row r="19" spans="1:7" x14ac:dyDescent="0.3">
      <c r="A19" s="270"/>
      <c r="B19" s="270"/>
      <c r="C19" s="270"/>
      <c r="D19" s="270"/>
      <c r="E19" s="270"/>
      <c r="F19" s="270"/>
    </row>
    <row r="20" spans="1:7" x14ac:dyDescent="0.3">
      <c r="A20" s="271" t="s">
        <v>535</v>
      </c>
      <c r="B20" s="271"/>
      <c r="C20" s="271"/>
      <c r="D20" s="271"/>
      <c r="E20" s="271"/>
      <c r="F20" s="271"/>
    </row>
    <row r="21" spans="1:7" x14ac:dyDescent="0.3">
      <c r="A21" s="272" t="s">
        <v>536</v>
      </c>
      <c r="B21" s="272"/>
      <c r="C21" s="272" t="s">
        <v>537</v>
      </c>
      <c r="D21" s="272"/>
      <c r="E21" s="272"/>
      <c r="F21" s="272"/>
    </row>
    <row r="22" spans="1:7" ht="27" customHeight="1" x14ac:dyDescent="0.3">
      <c r="A22" s="227" t="s">
        <v>538</v>
      </c>
      <c r="B22" s="227"/>
      <c r="C22" s="274">
        <v>1</v>
      </c>
      <c r="D22" s="274"/>
      <c r="E22" s="274"/>
      <c r="F22" s="274"/>
    </row>
    <row r="23" spans="1:7" x14ac:dyDescent="0.3">
      <c r="A23" s="270"/>
      <c r="B23" s="270"/>
      <c r="C23" s="270"/>
      <c r="D23" s="270"/>
      <c r="E23" s="270"/>
      <c r="F23" s="270"/>
    </row>
    <row r="24" spans="1:7" x14ac:dyDescent="0.3">
      <c r="A24" s="271" t="s">
        <v>539</v>
      </c>
      <c r="B24" s="271"/>
      <c r="C24" s="271"/>
      <c r="D24" s="271"/>
      <c r="E24" s="271"/>
      <c r="F24" s="271"/>
    </row>
    <row r="25" spans="1:7" x14ac:dyDescent="0.3">
      <c r="A25" s="274" t="s">
        <v>540</v>
      </c>
      <c r="B25" s="274"/>
      <c r="C25" s="274"/>
      <c r="D25" s="274"/>
      <c r="E25" s="274"/>
      <c r="F25" s="274"/>
    </row>
    <row r="26" spans="1:7" ht="21" customHeight="1" x14ac:dyDescent="0.3">
      <c r="A26" s="226" t="s">
        <v>541</v>
      </c>
      <c r="B26" s="226"/>
      <c r="C26" s="272" t="s">
        <v>45</v>
      </c>
      <c r="D26" s="272"/>
      <c r="E26" s="272"/>
      <c r="F26" s="272"/>
    </row>
    <row r="27" spans="1:7" x14ac:dyDescent="0.3">
      <c r="A27" s="274" t="s">
        <v>542</v>
      </c>
      <c r="B27" s="274"/>
      <c r="C27" s="303" t="s">
        <v>665</v>
      </c>
      <c r="D27" s="303"/>
      <c r="E27" s="303"/>
      <c r="F27" s="303"/>
    </row>
    <row r="28" spans="1:7" x14ac:dyDescent="0.3">
      <c r="A28" s="272" t="s">
        <v>544</v>
      </c>
      <c r="B28" s="272"/>
      <c r="C28" s="279">
        <f>'Salários.VA.VT.QteDias.LDI.T'!F3</f>
        <v>3928.82</v>
      </c>
      <c r="D28" s="279"/>
      <c r="E28" s="279"/>
      <c r="F28" s="279"/>
    </row>
    <row r="29" spans="1:7" ht="24.75" customHeight="1" x14ac:dyDescent="0.3">
      <c r="A29" s="227" t="s">
        <v>545</v>
      </c>
      <c r="B29" s="227"/>
      <c r="C29" s="274" t="s">
        <v>546</v>
      </c>
      <c r="D29" s="274"/>
      <c r="E29" s="274"/>
      <c r="F29" s="274"/>
      <c r="G29" s="140"/>
    </row>
    <row r="30" spans="1:7" x14ac:dyDescent="0.3">
      <c r="A30" s="272" t="s">
        <v>547</v>
      </c>
      <c r="B30" s="272"/>
      <c r="C30" s="276" t="s">
        <v>548</v>
      </c>
      <c r="D30" s="276"/>
      <c r="E30" s="276"/>
      <c r="F30" s="276"/>
    </row>
    <row r="31" spans="1:7" x14ac:dyDescent="0.3">
      <c r="A31" s="280" t="s">
        <v>549</v>
      </c>
      <c r="B31" s="280"/>
      <c r="C31" s="280"/>
      <c r="D31" s="280"/>
      <c r="E31" s="280"/>
      <c r="F31" s="280"/>
    </row>
    <row r="32" spans="1:7"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3928.82</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116"/>
    </row>
    <row r="41" spans="1:6" x14ac:dyDescent="0.3">
      <c r="A41" s="271" t="s">
        <v>566</v>
      </c>
      <c r="B41" s="271"/>
      <c r="C41" s="271"/>
      <c r="D41" s="271"/>
      <c r="E41" s="271"/>
      <c r="F41" s="119">
        <f>TRUNC(SUM(F34:F40),2)</f>
        <v>3928.82</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92" t="s">
        <v>572</v>
      </c>
      <c r="C46" s="292"/>
      <c r="D46" s="292"/>
      <c r="E46" s="120">
        <f>TRUNC((100/12),2)</f>
        <v>8.33</v>
      </c>
      <c r="F46" s="116">
        <f>TRUNC((F41*E46%),2)</f>
        <v>327.27</v>
      </c>
    </row>
    <row r="47" spans="1:6" x14ac:dyDescent="0.3">
      <c r="A47" s="117" t="s">
        <v>554</v>
      </c>
      <c r="B47" s="304" t="s">
        <v>573</v>
      </c>
      <c r="C47" s="304"/>
      <c r="D47" s="304"/>
      <c r="E47" s="121">
        <f>E46/3</f>
        <v>2.7766666666666668</v>
      </c>
      <c r="F47" s="118">
        <f>TRUNC((F41*E47%),2)</f>
        <v>109.09</v>
      </c>
    </row>
    <row r="48" spans="1:6" x14ac:dyDescent="0.3">
      <c r="A48" s="271" t="s">
        <v>574</v>
      </c>
      <c r="B48" s="271"/>
      <c r="C48" s="271"/>
      <c r="D48" s="271"/>
      <c r="E48" s="122">
        <f>SUM(E46:E47)</f>
        <v>11.106666666666667</v>
      </c>
      <c r="F48" s="119">
        <f>TRUNC((SUM(F46:F47)),2)</f>
        <v>436.36</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873.03</v>
      </c>
    </row>
    <row r="52" spans="1:6" x14ac:dyDescent="0.3">
      <c r="A52" s="117" t="s">
        <v>554</v>
      </c>
      <c r="B52" s="283" t="s">
        <v>579</v>
      </c>
      <c r="C52" s="283"/>
      <c r="D52" s="283"/>
      <c r="E52" s="124">
        <v>2.5000000000000001E-2</v>
      </c>
      <c r="F52" s="118">
        <f t="shared" si="0"/>
        <v>109.12</v>
      </c>
    </row>
    <row r="53" spans="1:6" x14ac:dyDescent="0.3">
      <c r="A53" s="115" t="s">
        <v>556</v>
      </c>
      <c r="B53" s="282" t="s">
        <v>580</v>
      </c>
      <c r="C53" s="282"/>
      <c r="D53" s="282"/>
      <c r="E53" s="207">
        <v>0.03</v>
      </c>
      <c r="F53" s="116">
        <f t="shared" si="0"/>
        <v>130.94999999999999</v>
      </c>
    </row>
    <row r="54" spans="1:6" x14ac:dyDescent="0.3">
      <c r="A54" s="117" t="s">
        <v>558</v>
      </c>
      <c r="B54" s="283" t="s">
        <v>581</v>
      </c>
      <c r="C54" s="283"/>
      <c r="D54" s="283"/>
      <c r="E54" s="124">
        <v>1.4999999999999999E-2</v>
      </c>
      <c r="F54" s="118">
        <f t="shared" si="0"/>
        <v>65.47</v>
      </c>
    </row>
    <row r="55" spans="1:6" x14ac:dyDescent="0.3">
      <c r="A55" s="115" t="s">
        <v>560</v>
      </c>
      <c r="B55" s="282" t="s">
        <v>582</v>
      </c>
      <c r="C55" s="282"/>
      <c r="D55" s="282"/>
      <c r="E55" s="123">
        <v>0.01</v>
      </c>
      <c r="F55" s="116">
        <f t="shared" si="0"/>
        <v>43.65</v>
      </c>
    </row>
    <row r="56" spans="1:6" x14ac:dyDescent="0.3">
      <c r="A56" s="117" t="s">
        <v>562</v>
      </c>
      <c r="B56" s="283" t="s">
        <v>583</v>
      </c>
      <c r="C56" s="283"/>
      <c r="D56" s="283"/>
      <c r="E56" s="124">
        <v>6.0000000000000001E-3</v>
      </c>
      <c r="F56" s="118">
        <f t="shared" si="0"/>
        <v>26.19</v>
      </c>
    </row>
    <row r="57" spans="1:6" x14ac:dyDescent="0.3">
      <c r="A57" s="115" t="s">
        <v>564</v>
      </c>
      <c r="B57" s="282" t="s">
        <v>584</v>
      </c>
      <c r="C57" s="282"/>
      <c r="D57" s="282"/>
      <c r="E57" s="123">
        <v>2E-3</v>
      </c>
      <c r="F57" s="116">
        <f t="shared" si="0"/>
        <v>8.73</v>
      </c>
    </row>
    <row r="58" spans="1:6" x14ac:dyDescent="0.3">
      <c r="A58" s="117" t="s">
        <v>585</v>
      </c>
      <c r="B58" s="283" t="s">
        <v>586</v>
      </c>
      <c r="C58" s="283"/>
      <c r="D58" s="283"/>
      <c r="E58" s="124">
        <v>0.08</v>
      </c>
      <c r="F58" s="118">
        <f t="shared" si="0"/>
        <v>349.21</v>
      </c>
    </row>
    <row r="59" spans="1:6" x14ac:dyDescent="0.3">
      <c r="A59" s="271" t="s">
        <v>587</v>
      </c>
      <c r="B59" s="271"/>
      <c r="C59" s="271"/>
      <c r="D59" s="271"/>
      <c r="E59" s="126">
        <f>SUM(E51:E58)</f>
        <v>0.36800000000000005</v>
      </c>
      <c r="F59" s="119">
        <f>TRUNC((SUM(F51:F58)),2)</f>
        <v>1606.35</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'Salários.VA.VT.QteDias.LDI.T'!E41</f>
        <v>21</v>
      </c>
      <c r="E63" s="113">
        <f>TRUNC(($F$34*6%),2)</f>
        <v>235.72</v>
      </c>
      <c r="F63" s="118">
        <f>TRUNC(IF(E63&gt;=189,0,((B63*C63*D63)-E63)),2)</f>
        <v>0</v>
      </c>
    </row>
    <row r="64" spans="1:6" x14ac:dyDescent="0.3">
      <c r="A64" s="286" t="s">
        <v>554</v>
      </c>
      <c r="B64" s="286" t="s">
        <v>595</v>
      </c>
      <c r="C64" s="286"/>
      <c r="D64" s="127" t="s">
        <v>593</v>
      </c>
      <c r="E64" s="127" t="s">
        <v>594</v>
      </c>
      <c r="F64" s="115" t="s">
        <v>551</v>
      </c>
    </row>
    <row r="65" spans="1:6" x14ac:dyDescent="0.3">
      <c r="A65" s="286"/>
      <c r="B65" s="287">
        <f>'Salários.VA.VT.QteDias.LDI.T'!E20</f>
        <v>26.7</v>
      </c>
      <c r="C65" s="287"/>
      <c r="D65" s="127">
        <f>'Salários.VA.VT.QteDias.LDI.T'!E41</f>
        <v>21</v>
      </c>
      <c r="E65" s="128">
        <f>TRUNC(0.1*(B65*D65),2)</f>
        <v>56.07</v>
      </c>
      <c r="F65" s="116">
        <f>TRUNC(((B65*D65)-E65),2)</f>
        <v>504.63</v>
      </c>
    </row>
    <row r="66" spans="1:6" x14ac:dyDescent="0.3">
      <c r="A66" s="272" t="s">
        <v>556</v>
      </c>
      <c r="B66" s="283" t="s">
        <v>596</v>
      </c>
      <c r="C66" s="283"/>
      <c r="D66" s="283"/>
      <c r="E66" s="283"/>
      <c r="F66" s="117" t="s">
        <v>551</v>
      </c>
    </row>
    <row r="67" spans="1:6" x14ac:dyDescent="0.3">
      <c r="A67" s="272"/>
      <c r="B67" s="283"/>
      <c r="C67" s="283"/>
      <c r="D67" s="283"/>
      <c r="E67" s="283"/>
      <c r="F67" s="205">
        <v>6</v>
      </c>
    </row>
    <row r="68" spans="1:6" x14ac:dyDescent="0.3">
      <c r="A68" s="286" t="s">
        <v>558</v>
      </c>
      <c r="B68" s="282" t="s">
        <v>597</v>
      </c>
      <c r="C68" s="282"/>
      <c r="D68" s="282"/>
      <c r="E68" s="282"/>
      <c r="F68" s="115" t="s">
        <v>551</v>
      </c>
    </row>
    <row r="69" spans="1:6" x14ac:dyDescent="0.3">
      <c r="A69" s="286"/>
      <c r="B69" s="282"/>
      <c r="C69" s="282"/>
      <c r="D69" s="282"/>
      <c r="E69" s="282"/>
      <c r="F69" s="206">
        <v>19.899999999999999</v>
      </c>
    </row>
    <row r="70" spans="1:6" x14ac:dyDescent="0.3">
      <c r="A70" s="272" t="s">
        <v>560</v>
      </c>
      <c r="B70" s="283" t="s">
        <v>565</v>
      </c>
      <c r="C70" s="283"/>
      <c r="D70" s="283"/>
      <c r="E70" s="283"/>
      <c r="F70" s="117" t="s">
        <v>551</v>
      </c>
    </row>
    <row r="71" spans="1:6" x14ac:dyDescent="0.3">
      <c r="A71" s="272"/>
      <c r="B71" s="283"/>
      <c r="C71" s="283"/>
      <c r="D71" s="283"/>
      <c r="E71" s="283"/>
      <c r="F71" s="205">
        <v>0</v>
      </c>
    </row>
    <row r="72" spans="1:6" x14ac:dyDescent="0.3">
      <c r="A72" s="271" t="s">
        <v>598</v>
      </c>
      <c r="B72" s="271"/>
      <c r="C72" s="271"/>
      <c r="D72" s="271"/>
      <c r="E72" s="271"/>
      <c r="F72" s="119">
        <f>TRUNC(SUM(F63,F65,F67,F69,F71),2)</f>
        <v>530.53</v>
      </c>
    </row>
    <row r="73" spans="1:6" x14ac:dyDescent="0.3">
      <c r="A73" s="253" t="s">
        <v>599</v>
      </c>
      <c r="B73" s="253"/>
      <c r="C73" s="253"/>
      <c r="D73" s="253"/>
      <c r="E73" s="253"/>
      <c r="F73" s="253"/>
    </row>
    <row r="74" spans="1:6" x14ac:dyDescent="0.3">
      <c r="A74" s="110" t="s">
        <v>600</v>
      </c>
      <c r="B74" s="288" t="s">
        <v>601</v>
      </c>
      <c r="C74" s="288"/>
      <c r="D74" s="288"/>
      <c r="E74" s="288"/>
      <c r="F74" s="110" t="s">
        <v>551</v>
      </c>
    </row>
    <row r="75" spans="1:6" x14ac:dyDescent="0.3">
      <c r="A75" s="127" t="s">
        <v>569</v>
      </c>
      <c r="B75" s="289" t="s">
        <v>602</v>
      </c>
      <c r="C75" s="289"/>
      <c r="D75" s="289"/>
      <c r="E75" s="289"/>
      <c r="F75" s="128">
        <f>$F$48</f>
        <v>436.36</v>
      </c>
    </row>
    <row r="76" spans="1:6" x14ac:dyDescent="0.3">
      <c r="A76" s="110" t="s">
        <v>576</v>
      </c>
      <c r="B76" s="288" t="s">
        <v>603</v>
      </c>
      <c r="C76" s="288"/>
      <c r="D76" s="288"/>
      <c r="E76" s="288"/>
      <c r="F76" s="113">
        <f>$F$59</f>
        <v>1606.35</v>
      </c>
    </row>
    <row r="77" spans="1:6" x14ac:dyDescent="0.3">
      <c r="A77" s="127" t="s">
        <v>589</v>
      </c>
      <c r="B77" s="289" t="s">
        <v>590</v>
      </c>
      <c r="C77" s="289"/>
      <c r="D77" s="289"/>
      <c r="E77" s="289"/>
      <c r="F77" s="128">
        <f>$F$72</f>
        <v>530.53</v>
      </c>
    </row>
    <row r="78" spans="1:6" x14ac:dyDescent="0.3">
      <c r="A78" s="271" t="s">
        <v>604</v>
      </c>
      <c r="B78" s="271"/>
      <c r="C78" s="271"/>
      <c r="D78" s="271"/>
      <c r="E78" s="271"/>
      <c r="F78" s="119">
        <f>TRUNC(SUM(F75:F77),2)</f>
        <v>2573.2399999999998</v>
      </c>
    </row>
    <row r="79" spans="1:6" x14ac:dyDescent="0.3">
      <c r="A79" s="270"/>
      <c r="B79" s="270"/>
      <c r="C79" s="270"/>
      <c r="D79" s="270"/>
      <c r="E79" s="270"/>
      <c r="F79" s="270"/>
    </row>
    <row r="80" spans="1:6"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11.35</v>
      </c>
    </row>
    <row r="83" spans="1:6" x14ac:dyDescent="0.3">
      <c r="A83" s="117" t="s">
        <v>554</v>
      </c>
      <c r="B83" s="283" t="s">
        <v>608</v>
      </c>
      <c r="C83" s="283"/>
      <c r="D83" s="283"/>
      <c r="E83" s="208">
        <f>(8%*0.29%)</f>
        <v>2.32E-4</v>
      </c>
      <c r="F83" s="129">
        <f>TRUNC((($F$41+$F$48)*E83),2)</f>
        <v>1.01</v>
      </c>
    </row>
    <row r="84" spans="1:6" ht="16.5" customHeight="1" x14ac:dyDescent="0.3">
      <c r="A84" s="115" t="s">
        <v>556</v>
      </c>
      <c r="B84" s="290" t="s">
        <v>609</v>
      </c>
      <c r="C84" s="290"/>
      <c r="D84" s="290"/>
      <c r="E84" s="207">
        <f>(56.24%)*5.55%*40%*8%</f>
        <v>9.9882240000000004E-4</v>
      </c>
      <c r="F84" s="116">
        <f>TRUNC((($F$41+$F$48)*E84),2)</f>
        <v>4.3600000000000003</v>
      </c>
    </row>
    <row r="85" spans="1:6" x14ac:dyDescent="0.3">
      <c r="A85" s="117" t="s">
        <v>558</v>
      </c>
      <c r="B85" s="283" t="s">
        <v>610</v>
      </c>
      <c r="C85" s="283"/>
      <c r="D85" s="283"/>
      <c r="E85" s="208">
        <f>((56.24%)*94.45%*(7/30)/12)</f>
        <v>1.0328632222222222E-2</v>
      </c>
      <c r="F85" s="129">
        <f>TRUNC((($F$41+$F$48)*E85),2)</f>
        <v>45.08</v>
      </c>
    </row>
    <row r="86" spans="1:6" x14ac:dyDescent="0.3">
      <c r="A86" s="116" t="s">
        <v>560</v>
      </c>
      <c r="B86" s="291" t="s">
        <v>611</v>
      </c>
      <c r="C86" s="291"/>
      <c r="D86" s="291"/>
      <c r="E86" s="207">
        <f>1.03%*36.8%</f>
        <v>3.7904000000000002E-3</v>
      </c>
      <c r="F86" s="116">
        <f>TRUNC((($F$41+$F$48)*E86),2)</f>
        <v>16.54</v>
      </c>
    </row>
    <row r="87" spans="1:6" x14ac:dyDescent="0.3">
      <c r="A87" s="117" t="s">
        <v>562</v>
      </c>
      <c r="B87" s="283" t="s">
        <v>612</v>
      </c>
      <c r="C87" s="283"/>
      <c r="D87" s="283"/>
      <c r="E87" s="208">
        <f>(56.24%)*94.45%*40%*8%</f>
        <v>1.6997977600000002E-2</v>
      </c>
      <c r="F87" s="129">
        <f>TRUNC((($F$41+F48)*E87),2)</f>
        <v>74.19</v>
      </c>
    </row>
    <row r="88" spans="1:6" x14ac:dyDescent="0.3">
      <c r="A88" s="271" t="s">
        <v>613</v>
      </c>
      <c r="B88" s="271"/>
      <c r="C88" s="271"/>
      <c r="D88" s="271"/>
      <c r="E88" s="126">
        <f>SUM(E82:E87)</f>
        <v>3.4948932222222229E-2</v>
      </c>
      <c r="F88" s="119">
        <f>TRUNC(SUM(F82:F87),2)</f>
        <v>152.53</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30">
        <f t="shared" ref="F93:F98" si="1">TRUNC((($F$41+$F$78)*E93),2)</f>
        <v>0</v>
      </c>
    </row>
    <row r="94" spans="1:6" x14ac:dyDescent="0.3">
      <c r="A94" s="117" t="s">
        <v>554</v>
      </c>
      <c r="B94" s="283" t="s">
        <v>619</v>
      </c>
      <c r="C94" s="283"/>
      <c r="D94" s="283"/>
      <c r="E94" s="208">
        <f>(8/30)/12</f>
        <v>2.2222222222222223E-2</v>
      </c>
      <c r="F94" s="129">
        <f t="shared" si="1"/>
        <v>144.49</v>
      </c>
    </row>
    <row r="95" spans="1:6" x14ac:dyDescent="0.3">
      <c r="A95" s="115" t="s">
        <v>556</v>
      </c>
      <c r="B95" s="282" t="s">
        <v>620</v>
      </c>
      <c r="C95" s="282"/>
      <c r="D95" s="282"/>
      <c r="E95" s="207">
        <f>(((20/30)/12)*1.416%*45.22%)</f>
        <v>3.557306666666666E-4</v>
      </c>
      <c r="F95" s="130">
        <f t="shared" si="1"/>
        <v>2.31</v>
      </c>
    </row>
    <row r="96" spans="1:6" x14ac:dyDescent="0.3">
      <c r="A96" s="117" t="s">
        <v>558</v>
      </c>
      <c r="B96" s="283" t="s">
        <v>621</v>
      </c>
      <c r="C96" s="283"/>
      <c r="D96" s="283"/>
      <c r="E96" s="208">
        <f>((15/30)/12)*0.44%</f>
        <v>1.8333333333333334E-4</v>
      </c>
      <c r="F96" s="129">
        <f t="shared" si="1"/>
        <v>1.19</v>
      </c>
    </row>
    <row r="97" spans="1:6" x14ac:dyDescent="0.3">
      <c r="A97" s="115" t="s">
        <v>560</v>
      </c>
      <c r="B97" s="282" t="s">
        <v>622</v>
      </c>
      <c r="C97" s="282"/>
      <c r="D97" s="282"/>
      <c r="E97" s="207">
        <f>(((180/30)/12*1.416%*54.78%*36.8%))</f>
        <v>1.4272600319999999E-3</v>
      </c>
      <c r="F97" s="130">
        <f t="shared" si="1"/>
        <v>9.2799999999999994</v>
      </c>
    </row>
    <row r="98" spans="1:6" x14ac:dyDescent="0.3">
      <c r="A98" s="117" t="s">
        <v>562</v>
      </c>
      <c r="B98" s="283" t="s">
        <v>623</v>
      </c>
      <c r="C98" s="283"/>
      <c r="D98" s="283"/>
      <c r="E98" s="208">
        <v>0</v>
      </c>
      <c r="F98" s="129">
        <f t="shared" si="1"/>
        <v>0</v>
      </c>
    </row>
    <row r="99" spans="1:6" x14ac:dyDescent="0.3">
      <c r="A99" s="271" t="s">
        <v>624</v>
      </c>
      <c r="B99" s="271"/>
      <c r="C99" s="271"/>
      <c r="D99" s="271"/>
      <c r="E99" s="126">
        <f>SUM(E93:E98)</f>
        <v>2.4188546254222225E-2</v>
      </c>
      <c r="F99" s="119">
        <f>TRUNC(SUM(F93:F98),2)</f>
        <v>157.27000000000001</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15" t="s">
        <v>552</v>
      </c>
      <c r="B102" s="292" t="s">
        <v>628</v>
      </c>
      <c r="C102" s="292"/>
      <c r="D102" s="292"/>
      <c r="E102" s="131" t="s">
        <v>629</v>
      </c>
      <c r="F102" s="116">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157.27000000000001</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157.27000000000001</v>
      </c>
    </row>
    <row r="108" spans="1:6" x14ac:dyDescent="0.3">
      <c r="A108" s="305"/>
      <c r="B108" s="305"/>
      <c r="C108" s="305"/>
      <c r="D108" s="305"/>
      <c r="E108" s="305"/>
      <c r="F108" s="305"/>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Unif!I96</f>
        <v>173.03</v>
      </c>
    </row>
    <row r="112" spans="1:6" x14ac:dyDescent="0.3">
      <c r="A112" s="110" t="s">
        <v>554</v>
      </c>
      <c r="B112" s="285" t="s">
        <v>636</v>
      </c>
      <c r="C112" s="285"/>
      <c r="D112" s="285"/>
      <c r="E112" s="285"/>
      <c r="F112" s="118">
        <v>0</v>
      </c>
    </row>
    <row r="113" spans="1:7" x14ac:dyDescent="0.3">
      <c r="A113" s="127" t="s">
        <v>556</v>
      </c>
      <c r="B113" s="293" t="s">
        <v>637</v>
      </c>
      <c r="C113" s="293"/>
      <c r="D113" s="293"/>
      <c r="E113" s="293"/>
      <c r="F113" s="116">
        <v>0</v>
      </c>
    </row>
    <row r="114" spans="1:7" x14ac:dyDescent="0.3">
      <c r="A114" s="110" t="s">
        <v>558</v>
      </c>
      <c r="B114" s="285" t="s">
        <v>638</v>
      </c>
      <c r="C114" s="285"/>
      <c r="D114" s="285"/>
      <c r="E114" s="285"/>
      <c r="F114" s="113">
        <v>0</v>
      </c>
    </row>
    <row r="115" spans="1:7" x14ac:dyDescent="0.3">
      <c r="A115" s="271" t="s">
        <v>639</v>
      </c>
      <c r="B115" s="271"/>
      <c r="C115" s="271"/>
      <c r="D115" s="271"/>
      <c r="E115" s="271"/>
      <c r="F115" s="119">
        <f>TRUNC(SUM(F111:F114),2)</f>
        <v>173.03</v>
      </c>
    </row>
    <row r="116" spans="1:7" x14ac:dyDescent="0.3">
      <c r="A116" s="270"/>
      <c r="B116" s="270"/>
      <c r="C116" s="270"/>
      <c r="D116" s="270"/>
      <c r="E116" s="270"/>
      <c r="F116" s="270"/>
    </row>
    <row r="117" spans="1:7" x14ac:dyDescent="0.3">
      <c r="A117" s="271" t="s">
        <v>640</v>
      </c>
      <c r="B117" s="271"/>
      <c r="C117" s="271"/>
      <c r="D117" s="271"/>
      <c r="E117" s="271"/>
      <c r="F117" s="271"/>
    </row>
    <row r="118" spans="1:7" x14ac:dyDescent="0.3">
      <c r="A118" s="272" t="s">
        <v>641</v>
      </c>
      <c r="B118" s="272"/>
      <c r="C118" s="272"/>
      <c r="D118" s="272"/>
      <c r="E118" s="114" t="s">
        <v>571</v>
      </c>
      <c r="F118" s="157" t="s">
        <v>551</v>
      </c>
      <c r="G118" s="151"/>
    </row>
    <row r="119" spans="1:7" x14ac:dyDescent="0.3">
      <c r="A119" s="127" t="s">
        <v>552</v>
      </c>
      <c r="B119" s="293" t="s">
        <v>642</v>
      </c>
      <c r="C119" s="293"/>
      <c r="D119" s="293"/>
      <c r="E119" s="154">
        <f>'Salários.VA.VT.QteDias.LDI.T'!$G$46</f>
        <v>4.7300000000000002E-2</v>
      </c>
      <c r="F119" s="116">
        <f>TRUNC(($F$134*$E$119),2)</f>
        <v>330.38</v>
      </c>
    </row>
    <row r="120" spans="1:7" x14ac:dyDescent="0.3">
      <c r="A120" s="110" t="s">
        <v>554</v>
      </c>
      <c r="B120" s="285" t="s">
        <v>643</v>
      </c>
      <c r="C120" s="285"/>
      <c r="D120" s="285"/>
      <c r="E120" s="133">
        <f>'Salários.VA.VT.QteDias.LDI.T'!$G$47</f>
        <v>5.57E-2</v>
      </c>
      <c r="F120" s="118">
        <f>TRUNC((($F$134+$F$119)*E120),2)</f>
        <v>407.46</v>
      </c>
    </row>
    <row r="121" spans="1:7" x14ac:dyDescent="0.3">
      <c r="A121" s="274" t="s">
        <v>644</v>
      </c>
      <c r="B121" s="274"/>
      <c r="C121" s="274"/>
      <c r="D121" s="274"/>
      <c r="E121" s="71" t="s">
        <v>571</v>
      </c>
      <c r="F121" s="134" t="s">
        <v>551</v>
      </c>
    </row>
    <row r="122" spans="1:7" x14ac:dyDescent="0.3">
      <c r="A122" s="110" t="s">
        <v>552</v>
      </c>
      <c r="B122" s="285" t="s">
        <v>93</v>
      </c>
      <c r="C122" s="285"/>
      <c r="D122" s="285"/>
      <c r="E122" s="209">
        <v>6.4999999999999997E-3</v>
      </c>
      <c r="F122" s="118">
        <f>TRUNC(((($F$134+$F$119+$F$120)/0.9135)*E122),2)</f>
        <v>54.95</v>
      </c>
    </row>
    <row r="123" spans="1:7" x14ac:dyDescent="0.3">
      <c r="A123" s="68" t="s">
        <v>554</v>
      </c>
      <c r="B123" s="294" t="s">
        <v>645</v>
      </c>
      <c r="C123" s="294"/>
      <c r="D123" s="294"/>
      <c r="E123" s="210">
        <v>0.03</v>
      </c>
      <c r="F123" s="135">
        <f>TRUNC(((($F$134+$F$119+$F$120)/0.9135)*E123),2)</f>
        <v>253.62</v>
      </c>
    </row>
    <row r="124" spans="1:7" x14ac:dyDescent="0.3">
      <c r="A124" s="110" t="s">
        <v>556</v>
      </c>
      <c r="B124" s="285" t="s">
        <v>95</v>
      </c>
      <c r="C124" s="285"/>
      <c r="D124" s="285"/>
      <c r="E124" s="209">
        <v>0.05</v>
      </c>
      <c r="F124" s="118">
        <f>TRUNC(((($F$134+$F$119+$F$120)/0.9135)*E124),2)</f>
        <v>422.7</v>
      </c>
    </row>
    <row r="125" spans="1:7" x14ac:dyDescent="0.3">
      <c r="A125" s="271" t="s">
        <v>646</v>
      </c>
      <c r="B125" s="271"/>
      <c r="C125" s="271"/>
      <c r="D125" s="271"/>
      <c r="E125" s="126">
        <f>SUM(E122:E124)</f>
        <v>8.6499999999999994E-2</v>
      </c>
      <c r="F125" s="119">
        <f>TRUNC(SUM($F$119,$F$120,$F$122,$F$123,$F$124),2)</f>
        <v>1469.11</v>
      </c>
    </row>
    <row r="126" spans="1:7" x14ac:dyDescent="0.3">
      <c r="A126" s="270"/>
      <c r="B126" s="270"/>
      <c r="C126" s="270"/>
      <c r="D126" s="270"/>
      <c r="E126" s="270"/>
      <c r="F126" s="270"/>
    </row>
    <row r="127" spans="1:7" x14ac:dyDescent="0.3">
      <c r="A127" s="271" t="s">
        <v>647</v>
      </c>
      <c r="B127" s="271"/>
      <c r="C127" s="271"/>
      <c r="D127" s="271"/>
      <c r="E127" s="271"/>
      <c r="F127" s="271"/>
    </row>
    <row r="128" spans="1:7" x14ac:dyDescent="0.3">
      <c r="A128" s="253" t="s">
        <v>648</v>
      </c>
      <c r="B128" s="253"/>
      <c r="C128" s="253"/>
      <c r="D128" s="253"/>
      <c r="E128" s="253"/>
      <c r="F128" s="40" t="s">
        <v>551</v>
      </c>
    </row>
    <row r="129" spans="1:7" x14ac:dyDescent="0.3">
      <c r="A129" s="110" t="s">
        <v>552</v>
      </c>
      <c r="B129" s="285" t="s">
        <v>649</v>
      </c>
      <c r="C129" s="285"/>
      <c r="D129" s="285"/>
      <c r="E129" s="285"/>
      <c r="F129" s="113">
        <f>$F$41</f>
        <v>3928.82</v>
      </c>
    </row>
    <row r="130" spans="1:7" x14ac:dyDescent="0.3">
      <c r="A130" s="127" t="s">
        <v>554</v>
      </c>
      <c r="B130" s="293" t="s">
        <v>650</v>
      </c>
      <c r="C130" s="293"/>
      <c r="D130" s="293"/>
      <c r="E130" s="293"/>
      <c r="F130" s="128">
        <f>$F$78</f>
        <v>2573.2399999999998</v>
      </c>
    </row>
    <row r="131" spans="1:7" x14ac:dyDescent="0.3">
      <c r="A131" s="110" t="s">
        <v>556</v>
      </c>
      <c r="B131" s="285" t="s">
        <v>651</v>
      </c>
      <c r="C131" s="285"/>
      <c r="D131" s="285"/>
      <c r="E131" s="285"/>
      <c r="F131" s="113">
        <f>$F$88</f>
        <v>152.53</v>
      </c>
    </row>
    <row r="132" spans="1:7" x14ac:dyDescent="0.3">
      <c r="A132" s="127" t="s">
        <v>558</v>
      </c>
      <c r="B132" s="293" t="s">
        <v>652</v>
      </c>
      <c r="C132" s="293"/>
      <c r="D132" s="293"/>
      <c r="E132" s="293"/>
      <c r="F132" s="128">
        <f>$F$107</f>
        <v>157.27000000000001</v>
      </c>
    </row>
    <row r="133" spans="1:7" x14ac:dyDescent="0.3">
      <c r="A133" s="110" t="s">
        <v>560</v>
      </c>
      <c r="B133" s="285" t="s">
        <v>653</v>
      </c>
      <c r="C133" s="285"/>
      <c r="D133" s="285"/>
      <c r="E133" s="285"/>
      <c r="F133" s="113">
        <f>$F$115</f>
        <v>173.03</v>
      </c>
      <c r="G133" s="151"/>
    </row>
    <row r="134" spans="1:7" x14ac:dyDescent="0.3">
      <c r="A134" s="286" t="s">
        <v>654</v>
      </c>
      <c r="B134" s="286"/>
      <c r="C134" s="286"/>
      <c r="D134" s="286"/>
      <c r="E134" s="286"/>
      <c r="F134" s="128">
        <f>TRUNC(SUM(F129:F133),2)</f>
        <v>6984.89</v>
      </c>
    </row>
    <row r="135" spans="1:7" ht="30" customHeight="1" x14ac:dyDescent="0.3">
      <c r="A135" s="110" t="s">
        <v>562</v>
      </c>
      <c r="B135" s="281" t="s">
        <v>655</v>
      </c>
      <c r="C135" s="281"/>
      <c r="D135" s="281"/>
      <c r="E135" s="281"/>
      <c r="F135" s="113">
        <f>TRUNC(($F$125),2)</f>
        <v>1469.11</v>
      </c>
    </row>
    <row r="136" spans="1:7" ht="16.5" customHeight="1" x14ac:dyDescent="0.3">
      <c r="A136" s="286" t="s">
        <v>656</v>
      </c>
      <c r="B136" s="286"/>
      <c r="C136" s="286"/>
      <c r="D136" s="286"/>
      <c r="E136" s="286"/>
      <c r="F136" s="128">
        <f>TRUNC(($F$134 + $F$135),2)</f>
        <v>8454</v>
      </c>
    </row>
    <row r="137" spans="1:7" ht="16.5" customHeight="1" x14ac:dyDescent="0.3">
      <c r="A137" s="270"/>
      <c r="B137" s="270"/>
      <c r="C137" s="270"/>
      <c r="D137" s="270"/>
      <c r="E137" s="270"/>
      <c r="F137" s="270"/>
    </row>
    <row r="138" spans="1:7" ht="16.5" customHeight="1" x14ac:dyDescent="0.3">
      <c r="A138" s="223" t="s">
        <v>657</v>
      </c>
      <c r="B138" s="223"/>
      <c r="C138" s="223"/>
      <c r="D138" s="223"/>
      <c r="E138" s="223"/>
      <c r="F138" s="223"/>
    </row>
    <row r="139" spans="1:7" x14ac:dyDescent="0.3">
      <c r="A139" s="136" t="s">
        <v>658</v>
      </c>
      <c r="B139" s="111" t="s">
        <v>659</v>
      </c>
      <c r="C139" s="111" t="s">
        <v>660</v>
      </c>
      <c r="D139" s="111" t="s">
        <v>661</v>
      </c>
      <c r="E139" s="111" t="s">
        <v>662</v>
      </c>
      <c r="F139" s="111" t="s">
        <v>112</v>
      </c>
    </row>
    <row r="140" spans="1:7" ht="30.6" x14ac:dyDescent="0.3">
      <c r="A140" s="137" t="str">
        <f>$C$26</f>
        <v>Secretariado Executivo Nível Superior</v>
      </c>
      <c r="B140" s="138">
        <f>$F$136</f>
        <v>8454</v>
      </c>
      <c r="C140" s="137">
        <f>$C$22</f>
        <v>1</v>
      </c>
      <c r="D140" s="137">
        <f>$C$18</f>
        <v>12</v>
      </c>
      <c r="E140" s="138">
        <f>TRUNC(($B$140 * $C$140),2)</f>
        <v>8454</v>
      </c>
      <c r="F140" s="138">
        <f>TRUNC(($D$140 * $E$140),2)</f>
        <v>101448</v>
      </c>
    </row>
    <row r="141" spans="1:7" x14ac:dyDescent="0.3">
      <c r="A141" s="139"/>
      <c r="B141" s="139"/>
      <c r="C141" s="139"/>
      <c r="D141" s="139"/>
      <c r="E141" s="139"/>
      <c r="F141" s="139"/>
    </row>
    <row r="142" spans="1:7" x14ac:dyDescent="0.3">
      <c r="A142" s="139"/>
      <c r="B142" s="139"/>
      <c r="C142" s="139"/>
      <c r="D142" s="139"/>
      <c r="E142" s="139"/>
      <c r="F142" s="139"/>
    </row>
  </sheetData>
  <sheetProtection sheet="1" objects="1" scenarios="1"/>
  <protectedRanges>
    <protectedRange sqref="E122:E124" name="Intervalo6"/>
    <protectedRange sqref="E82:E87" name="Intervalo4"/>
    <protectedRange sqref="F35:F39 C28:F28 C30:F3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400-000000000000}"/>
    <hyperlink ref="C27" r:id="rId2" xr:uid="{00000000-0004-0000-1400-000001000000}"/>
  </hyperlinks>
  <pageMargins left="0.7" right="0.7" top="0.75" bottom="0.75" header="0.511811023622047" footer="0.511811023622047"/>
  <pageSetup paperSize="9" orientation="portrait" horizontalDpi="300" verticalDpi="300"/>
  <drawing r:id="rId3"/>
  <legacyDrawing r:id="rId4"/>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F142"/>
  <sheetViews>
    <sheetView zoomScale="130" zoomScaleNormal="130" workbookViewId="0">
      <selection activeCell="C10" sqref="C10:F10"/>
    </sheetView>
  </sheetViews>
  <sheetFormatPr defaultColWidth="8.6640625" defaultRowHeight="14.4" x14ac:dyDescent="0.3"/>
  <cols>
    <col min="1" max="1" width="14.44140625" customWidth="1"/>
    <col min="2" max="2" width="19.44140625" customWidth="1"/>
    <col min="3" max="3" width="20.5546875" customWidth="1"/>
    <col min="4" max="4" width="18.5546875" customWidth="1"/>
    <col min="5" max="5" width="18.6640625" customWidth="1"/>
    <col min="6" max="6" width="18.5546875" customWidth="1"/>
  </cols>
  <sheetData>
    <row r="1" spans="1:6" x14ac:dyDescent="0.3">
      <c r="A1" s="306"/>
      <c r="B1" s="306"/>
      <c r="C1" s="306"/>
      <c r="D1" s="306"/>
      <c r="E1" s="306"/>
      <c r="F1" s="306"/>
    </row>
    <row r="2" spans="1:6" x14ac:dyDescent="0.3">
      <c r="A2" s="306"/>
      <c r="B2" s="306"/>
      <c r="C2" s="306"/>
      <c r="D2" s="306"/>
      <c r="E2" s="306"/>
      <c r="F2" s="306"/>
    </row>
    <row r="3" spans="1:6" x14ac:dyDescent="0.3">
      <c r="A3" s="306"/>
      <c r="B3" s="306"/>
      <c r="C3" s="306"/>
      <c r="D3" s="306"/>
      <c r="E3" s="306"/>
      <c r="F3" s="306"/>
    </row>
    <row r="4" spans="1:6" x14ac:dyDescent="0.3">
      <c r="A4" s="306"/>
      <c r="B4" s="306"/>
      <c r="C4" s="306"/>
      <c r="D4" s="306"/>
      <c r="E4" s="306"/>
      <c r="F4" s="306"/>
    </row>
    <row r="5" spans="1:6" x14ac:dyDescent="0.3">
      <c r="A5" s="306"/>
      <c r="B5" s="306"/>
      <c r="C5" s="306"/>
      <c r="D5" s="306"/>
      <c r="E5" s="306"/>
      <c r="F5" s="306"/>
    </row>
    <row r="6" spans="1:6" ht="15" customHeight="1" x14ac:dyDescent="0.3">
      <c r="A6" s="306"/>
      <c r="B6" s="306"/>
      <c r="C6" s="306"/>
      <c r="D6" s="306"/>
      <c r="E6" s="306"/>
      <c r="F6" s="306"/>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6" x14ac:dyDescent="0.3">
      <c r="A17" s="226"/>
      <c r="B17" s="226"/>
      <c r="C17" s="277" t="s">
        <v>533</v>
      </c>
      <c r="D17" s="277"/>
      <c r="E17" s="277"/>
      <c r="F17" s="277"/>
    </row>
    <row r="18" spans="1:6" x14ac:dyDescent="0.3">
      <c r="A18" s="274" t="s">
        <v>534</v>
      </c>
      <c r="B18" s="274"/>
      <c r="C18" s="274">
        <v>12</v>
      </c>
      <c r="D18" s="274"/>
      <c r="E18" s="274"/>
      <c r="F18" s="274"/>
    </row>
    <row r="19" spans="1:6" x14ac:dyDescent="0.3">
      <c r="A19" s="270"/>
      <c r="B19" s="270"/>
      <c r="C19" s="270"/>
      <c r="D19" s="270"/>
      <c r="E19" s="270"/>
      <c r="F19" s="270"/>
    </row>
    <row r="20" spans="1:6" x14ac:dyDescent="0.3">
      <c r="A20" s="271" t="s">
        <v>535</v>
      </c>
      <c r="B20" s="271"/>
      <c r="C20" s="271"/>
      <c r="D20" s="271"/>
      <c r="E20" s="271"/>
      <c r="F20" s="271"/>
    </row>
    <row r="21" spans="1:6" x14ac:dyDescent="0.3">
      <c r="A21" s="272" t="s">
        <v>536</v>
      </c>
      <c r="B21" s="272"/>
      <c r="C21" s="272" t="s">
        <v>537</v>
      </c>
      <c r="D21" s="272"/>
      <c r="E21" s="272"/>
      <c r="F21" s="272"/>
    </row>
    <row r="22" spans="1:6" ht="27" customHeight="1" x14ac:dyDescent="0.3">
      <c r="A22" s="227" t="s">
        <v>538</v>
      </c>
      <c r="B22" s="227"/>
      <c r="C22" s="274">
        <v>1</v>
      </c>
      <c r="D22" s="274"/>
      <c r="E22" s="274"/>
      <c r="F22" s="274"/>
    </row>
    <row r="23" spans="1:6" x14ac:dyDescent="0.3">
      <c r="A23" s="270"/>
      <c r="B23" s="270"/>
      <c r="C23" s="270"/>
      <c r="D23" s="270"/>
      <c r="E23" s="270"/>
      <c r="F23" s="270"/>
    </row>
    <row r="24" spans="1:6" x14ac:dyDescent="0.3">
      <c r="A24" s="271" t="s">
        <v>539</v>
      </c>
      <c r="B24" s="271"/>
      <c r="C24" s="271"/>
      <c r="D24" s="271"/>
      <c r="E24" s="271"/>
      <c r="F24" s="271"/>
    </row>
    <row r="25" spans="1:6" x14ac:dyDescent="0.3">
      <c r="A25" s="274" t="s">
        <v>540</v>
      </c>
      <c r="B25" s="274"/>
      <c r="C25" s="274"/>
      <c r="D25" s="274"/>
      <c r="E25" s="274"/>
      <c r="F25" s="274"/>
    </row>
    <row r="26" spans="1:6" ht="21" customHeight="1" x14ac:dyDescent="0.3">
      <c r="A26" s="226" t="s">
        <v>541</v>
      </c>
      <c r="B26" s="226"/>
      <c r="C26" s="272" t="s">
        <v>53</v>
      </c>
      <c r="D26" s="272"/>
      <c r="E26" s="272"/>
      <c r="F26" s="272"/>
    </row>
    <row r="27" spans="1:6" x14ac:dyDescent="0.3">
      <c r="A27" s="274" t="s">
        <v>542</v>
      </c>
      <c r="B27" s="274"/>
      <c r="C27" s="303" t="s">
        <v>666</v>
      </c>
      <c r="D27" s="303"/>
      <c r="E27" s="303"/>
      <c r="F27" s="303"/>
    </row>
    <row r="28" spans="1:6" x14ac:dyDescent="0.3">
      <c r="A28" s="272" t="s">
        <v>544</v>
      </c>
      <c r="B28" s="272"/>
      <c r="C28" s="279">
        <f>'Salários.VA.VT.QteDias.LDI.T'!J3</f>
        <v>1983.35</v>
      </c>
      <c r="D28" s="279"/>
      <c r="E28" s="279"/>
      <c r="F28" s="279"/>
    </row>
    <row r="29" spans="1:6" ht="24.75" customHeight="1" x14ac:dyDescent="0.3">
      <c r="A29" s="227" t="s">
        <v>545</v>
      </c>
      <c r="B29" s="227"/>
      <c r="C29" s="274" t="s">
        <v>546</v>
      </c>
      <c r="D29" s="274"/>
      <c r="E29" s="274"/>
      <c r="F29" s="274"/>
    </row>
    <row r="30" spans="1:6" x14ac:dyDescent="0.3">
      <c r="A30" s="272" t="s">
        <v>547</v>
      </c>
      <c r="B30" s="272"/>
      <c r="C30" s="276" t="s">
        <v>548</v>
      </c>
      <c r="D30" s="276"/>
      <c r="E30" s="276"/>
      <c r="F30" s="276"/>
    </row>
    <row r="31" spans="1:6" x14ac:dyDescent="0.3">
      <c r="A31" s="280" t="s">
        <v>549</v>
      </c>
      <c r="B31" s="280"/>
      <c r="C31" s="280"/>
      <c r="D31" s="280"/>
      <c r="E31" s="280"/>
      <c r="F31" s="280"/>
    </row>
    <row r="32" spans="1:6"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1983.35</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v>0</v>
      </c>
    </row>
    <row r="41" spans="1:6" x14ac:dyDescent="0.3">
      <c r="A41" s="271" t="s">
        <v>566</v>
      </c>
      <c r="B41" s="271"/>
      <c r="C41" s="271"/>
      <c r="D41" s="271"/>
      <c r="E41" s="271"/>
      <c r="F41" s="119">
        <f>TRUNC(SUM(F34:F40),2)</f>
        <v>1983.35</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92" t="s">
        <v>572</v>
      </c>
      <c r="C46" s="292"/>
      <c r="D46" s="292"/>
      <c r="E46" s="120">
        <f>TRUNC((100/12),2)</f>
        <v>8.33</v>
      </c>
      <c r="F46" s="116">
        <f>TRUNC((F41*E46%),2)</f>
        <v>165.21</v>
      </c>
    </row>
    <row r="47" spans="1:6" x14ac:dyDescent="0.3">
      <c r="A47" s="117" t="s">
        <v>554</v>
      </c>
      <c r="B47" s="304" t="s">
        <v>573</v>
      </c>
      <c r="C47" s="304"/>
      <c r="D47" s="304"/>
      <c r="E47" s="121">
        <f>E46/3</f>
        <v>2.7766666666666668</v>
      </c>
      <c r="F47" s="118">
        <f>TRUNC((F41*E47%),2)</f>
        <v>55.07</v>
      </c>
    </row>
    <row r="48" spans="1:6" x14ac:dyDescent="0.3">
      <c r="A48" s="271" t="s">
        <v>574</v>
      </c>
      <c r="B48" s="271"/>
      <c r="C48" s="271"/>
      <c r="D48" s="271"/>
      <c r="E48" s="122">
        <f>SUM(E46:E47)</f>
        <v>11.106666666666667</v>
      </c>
      <c r="F48" s="119">
        <f>TRUNC((SUM(F46:F47)),2)</f>
        <v>220.28</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440.72</v>
      </c>
    </row>
    <row r="52" spans="1:6" x14ac:dyDescent="0.3">
      <c r="A52" s="117" t="s">
        <v>554</v>
      </c>
      <c r="B52" s="283" t="s">
        <v>579</v>
      </c>
      <c r="C52" s="283"/>
      <c r="D52" s="283"/>
      <c r="E52" s="124">
        <v>2.5000000000000001E-2</v>
      </c>
      <c r="F52" s="118">
        <f t="shared" si="0"/>
        <v>55.09</v>
      </c>
    </row>
    <row r="53" spans="1:6" x14ac:dyDescent="0.3">
      <c r="A53" s="125" t="s">
        <v>556</v>
      </c>
      <c r="B53" s="282" t="s">
        <v>580</v>
      </c>
      <c r="C53" s="282"/>
      <c r="D53" s="282"/>
      <c r="E53" s="207">
        <v>0.03</v>
      </c>
      <c r="F53" s="116">
        <f t="shared" si="0"/>
        <v>66.099999999999994</v>
      </c>
    </row>
    <row r="54" spans="1:6" x14ac:dyDescent="0.3">
      <c r="A54" s="117" t="s">
        <v>558</v>
      </c>
      <c r="B54" s="283" t="s">
        <v>581</v>
      </c>
      <c r="C54" s="283"/>
      <c r="D54" s="283"/>
      <c r="E54" s="124">
        <v>1.4999999999999999E-2</v>
      </c>
      <c r="F54" s="118">
        <f t="shared" si="0"/>
        <v>33.049999999999997</v>
      </c>
    </row>
    <row r="55" spans="1:6" x14ac:dyDescent="0.3">
      <c r="A55" s="115" t="s">
        <v>560</v>
      </c>
      <c r="B55" s="282" t="s">
        <v>582</v>
      </c>
      <c r="C55" s="282"/>
      <c r="D55" s="282"/>
      <c r="E55" s="123">
        <v>0.01</v>
      </c>
      <c r="F55" s="116">
        <f t="shared" si="0"/>
        <v>22.03</v>
      </c>
    </row>
    <row r="56" spans="1:6" x14ac:dyDescent="0.3">
      <c r="A56" s="117" t="s">
        <v>562</v>
      </c>
      <c r="B56" s="283" t="s">
        <v>583</v>
      </c>
      <c r="C56" s="283"/>
      <c r="D56" s="283"/>
      <c r="E56" s="124">
        <v>6.0000000000000001E-3</v>
      </c>
      <c r="F56" s="118">
        <f t="shared" si="0"/>
        <v>13.22</v>
      </c>
    </row>
    <row r="57" spans="1:6" x14ac:dyDescent="0.3">
      <c r="A57" s="115" t="s">
        <v>564</v>
      </c>
      <c r="B57" s="282" t="s">
        <v>584</v>
      </c>
      <c r="C57" s="282"/>
      <c r="D57" s="282"/>
      <c r="E57" s="123">
        <v>2E-3</v>
      </c>
      <c r="F57" s="116">
        <f t="shared" si="0"/>
        <v>4.4000000000000004</v>
      </c>
    </row>
    <row r="58" spans="1:6" x14ac:dyDescent="0.3">
      <c r="A58" s="117" t="s">
        <v>585</v>
      </c>
      <c r="B58" s="283" t="s">
        <v>586</v>
      </c>
      <c r="C58" s="283"/>
      <c r="D58" s="283"/>
      <c r="E58" s="124">
        <v>0.08</v>
      </c>
      <c r="F58" s="118">
        <f t="shared" si="0"/>
        <v>176.29</v>
      </c>
    </row>
    <row r="59" spans="1:6" x14ac:dyDescent="0.3">
      <c r="A59" s="271" t="s">
        <v>587</v>
      </c>
      <c r="B59" s="271"/>
      <c r="C59" s="271"/>
      <c r="D59" s="271"/>
      <c r="E59" s="126">
        <f>SUM(E51:E58)</f>
        <v>0.36800000000000005</v>
      </c>
      <c r="F59" s="119">
        <f>TRUNC((SUM(F51:F58)),2)</f>
        <v>810.9</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'Salários.VA.VT.QteDias.LDI.T'!E41</f>
        <v>21</v>
      </c>
      <c r="E63" s="113">
        <f>TRUNC(($F$34*6%),2)</f>
        <v>119</v>
      </c>
      <c r="F63" s="118">
        <f>TRUNC(IF(E63&gt;=189,0,((B63*C63*D63)-E63)),2)</f>
        <v>70</v>
      </c>
    </row>
    <row r="64" spans="1:6" x14ac:dyDescent="0.3">
      <c r="A64" s="286" t="s">
        <v>554</v>
      </c>
      <c r="B64" s="286" t="s">
        <v>595</v>
      </c>
      <c r="C64" s="286"/>
      <c r="D64" s="127" t="s">
        <v>593</v>
      </c>
      <c r="E64" s="127" t="s">
        <v>594</v>
      </c>
      <c r="F64" s="115" t="s">
        <v>551</v>
      </c>
    </row>
    <row r="65" spans="1:6" x14ac:dyDescent="0.3">
      <c r="A65" s="286"/>
      <c r="B65" s="287">
        <f>'Salários.VA.VT.QteDias.LDI.T'!E20</f>
        <v>26.7</v>
      </c>
      <c r="C65" s="287"/>
      <c r="D65" s="127">
        <f>'Salários.VA.VT.QteDias.LDI.T'!E41</f>
        <v>21</v>
      </c>
      <c r="E65" s="128">
        <f>TRUNC(0.1*(B65*D65),2)</f>
        <v>56.07</v>
      </c>
      <c r="F65" s="116">
        <f>TRUNC(((B65*D65)-E65),2)</f>
        <v>504.63</v>
      </c>
    </row>
    <row r="66" spans="1:6" x14ac:dyDescent="0.3">
      <c r="A66" s="272" t="s">
        <v>556</v>
      </c>
      <c r="B66" s="283" t="s">
        <v>596</v>
      </c>
      <c r="C66" s="283"/>
      <c r="D66" s="283"/>
      <c r="E66" s="283"/>
      <c r="F66" s="117" t="s">
        <v>551</v>
      </c>
    </row>
    <row r="67" spans="1:6" x14ac:dyDescent="0.3">
      <c r="A67" s="272"/>
      <c r="B67" s="283"/>
      <c r="C67" s="283"/>
      <c r="D67" s="283"/>
      <c r="E67" s="283"/>
      <c r="F67" s="205">
        <v>6</v>
      </c>
    </row>
    <row r="68" spans="1:6" x14ac:dyDescent="0.3">
      <c r="A68" s="286" t="s">
        <v>558</v>
      </c>
      <c r="B68" s="282" t="s">
        <v>597</v>
      </c>
      <c r="C68" s="282"/>
      <c r="D68" s="282"/>
      <c r="E68" s="282"/>
      <c r="F68" s="115" t="s">
        <v>551</v>
      </c>
    </row>
    <row r="69" spans="1:6" x14ac:dyDescent="0.3">
      <c r="A69" s="286"/>
      <c r="B69" s="282"/>
      <c r="C69" s="282"/>
      <c r="D69" s="282"/>
      <c r="E69" s="282"/>
      <c r="F69" s="206">
        <v>19.899999999999999</v>
      </c>
    </row>
    <row r="70" spans="1:6" x14ac:dyDescent="0.3">
      <c r="A70" s="272" t="s">
        <v>560</v>
      </c>
      <c r="B70" s="283" t="s">
        <v>565</v>
      </c>
      <c r="C70" s="283"/>
      <c r="D70" s="283"/>
      <c r="E70" s="283"/>
      <c r="F70" s="117" t="s">
        <v>551</v>
      </c>
    </row>
    <row r="71" spans="1:6" x14ac:dyDescent="0.3">
      <c r="A71" s="272"/>
      <c r="B71" s="283"/>
      <c r="C71" s="283"/>
      <c r="D71" s="283"/>
      <c r="E71" s="283"/>
      <c r="F71" s="205">
        <v>0</v>
      </c>
    </row>
    <row r="72" spans="1:6" x14ac:dyDescent="0.3">
      <c r="A72" s="271" t="s">
        <v>598</v>
      </c>
      <c r="B72" s="271"/>
      <c r="C72" s="271"/>
      <c r="D72" s="271"/>
      <c r="E72" s="271"/>
      <c r="F72" s="119">
        <f>TRUNC(SUM(F63,F65,F67,F69,F71),2)</f>
        <v>600.53</v>
      </c>
    </row>
    <row r="73" spans="1:6" x14ac:dyDescent="0.3">
      <c r="A73" s="253" t="s">
        <v>599</v>
      </c>
      <c r="B73" s="253"/>
      <c r="C73" s="253"/>
      <c r="D73" s="253"/>
      <c r="E73" s="253"/>
      <c r="F73" s="253"/>
    </row>
    <row r="74" spans="1:6" x14ac:dyDescent="0.3">
      <c r="A74" s="110" t="s">
        <v>600</v>
      </c>
      <c r="B74" s="288" t="s">
        <v>601</v>
      </c>
      <c r="C74" s="288"/>
      <c r="D74" s="288"/>
      <c r="E74" s="288"/>
      <c r="F74" s="110" t="s">
        <v>551</v>
      </c>
    </row>
    <row r="75" spans="1:6" x14ac:dyDescent="0.3">
      <c r="A75" s="127" t="s">
        <v>569</v>
      </c>
      <c r="B75" s="289" t="s">
        <v>602</v>
      </c>
      <c r="C75" s="289"/>
      <c r="D75" s="289"/>
      <c r="E75" s="289"/>
      <c r="F75" s="128">
        <f>$F$48</f>
        <v>220.28</v>
      </c>
    </row>
    <row r="76" spans="1:6" x14ac:dyDescent="0.3">
      <c r="A76" s="110" t="s">
        <v>576</v>
      </c>
      <c r="B76" s="288" t="s">
        <v>603</v>
      </c>
      <c r="C76" s="288"/>
      <c r="D76" s="288"/>
      <c r="E76" s="288"/>
      <c r="F76" s="113">
        <f>$F$59</f>
        <v>810.9</v>
      </c>
    </row>
    <row r="77" spans="1:6" x14ac:dyDescent="0.3">
      <c r="A77" s="127" t="s">
        <v>589</v>
      </c>
      <c r="B77" s="289" t="s">
        <v>590</v>
      </c>
      <c r="C77" s="289"/>
      <c r="D77" s="289"/>
      <c r="E77" s="289"/>
      <c r="F77" s="128">
        <f>$F$72</f>
        <v>600.53</v>
      </c>
    </row>
    <row r="78" spans="1:6" x14ac:dyDescent="0.3">
      <c r="A78" s="271" t="s">
        <v>604</v>
      </c>
      <c r="B78" s="271"/>
      <c r="C78" s="271"/>
      <c r="D78" s="271"/>
      <c r="E78" s="271"/>
      <c r="F78" s="119">
        <f>TRUNC(SUM(F75:F77),2)</f>
        <v>1631.71</v>
      </c>
    </row>
    <row r="79" spans="1:6" x14ac:dyDescent="0.3">
      <c r="A79" s="270"/>
      <c r="B79" s="270"/>
      <c r="C79" s="270"/>
      <c r="D79" s="270"/>
      <c r="E79" s="270"/>
      <c r="F79" s="270"/>
    </row>
    <row r="80" spans="1:6"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5.73</v>
      </c>
    </row>
    <row r="83" spans="1:6" x14ac:dyDescent="0.3">
      <c r="A83" s="117" t="s">
        <v>554</v>
      </c>
      <c r="B83" s="283" t="s">
        <v>608</v>
      </c>
      <c r="C83" s="283"/>
      <c r="D83" s="283"/>
      <c r="E83" s="208">
        <f>(8%*0.29%)</f>
        <v>2.32E-4</v>
      </c>
      <c r="F83" s="129">
        <f>TRUNC((($F$41+$F$48)*E83),2)</f>
        <v>0.51</v>
      </c>
    </row>
    <row r="84" spans="1:6" ht="16.5" customHeight="1" x14ac:dyDescent="0.3">
      <c r="A84" s="115" t="s">
        <v>556</v>
      </c>
      <c r="B84" s="290" t="s">
        <v>609</v>
      </c>
      <c r="C84" s="290"/>
      <c r="D84" s="290"/>
      <c r="E84" s="207">
        <f>(56.24%)*5.55%*40%*8%</f>
        <v>9.9882240000000004E-4</v>
      </c>
      <c r="F84" s="116">
        <f>TRUNC((($F$41+$F$48)*E84),2)</f>
        <v>2.2000000000000002</v>
      </c>
    </row>
    <row r="85" spans="1:6" x14ac:dyDescent="0.3">
      <c r="A85" s="117" t="s">
        <v>558</v>
      </c>
      <c r="B85" s="283" t="s">
        <v>610</v>
      </c>
      <c r="C85" s="283"/>
      <c r="D85" s="283"/>
      <c r="E85" s="208">
        <f>((56.24%)*94.45%*(7/30)/12)</f>
        <v>1.0328632222222222E-2</v>
      </c>
      <c r="F85" s="129">
        <f>TRUNC((($F$41+$F$48)*E85),2)</f>
        <v>22.76</v>
      </c>
    </row>
    <row r="86" spans="1:6" x14ac:dyDescent="0.3">
      <c r="A86" s="116" t="s">
        <v>560</v>
      </c>
      <c r="B86" s="291" t="s">
        <v>611</v>
      </c>
      <c r="C86" s="291"/>
      <c r="D86" s="291"/>
      <c r="E86" s="207">
        <f>1.03%*36.8%</f>
        <v>3.7904000000000002E-3</v>
      </c>
      <c r="F86" s="116">
        <f>TRUNC((($F$41+$F$48)*E86),2)</f>
        <v>8.35</v>
      </c>
    </row>
    <row r="87" spans="1:6" x14ac:dyDescent="0.3">
      <c r="A87" s="117" t="s">
        <v>562</v>
      </c>
      <c r="B87" s="283" t="s">
        <v>612</v>
      </c>
      <c r="C87" s="283"/>
      <c r="D87" s="283"/>
      <c r="E87" s="208">
        <f>(56.24%)*94.45%*40%*8%</f>
        <v>1.6997977600000002E-2</v>
      </c>
      <c r="F87" s="129">
        <f>TRUNC((($F$41+F48)*E87),2)</f>
        <v>37.450000000000003</v>
      </c>
    </row>
    <row r="88" spans="1:6" x14ac:dyDescent="0.3">
      <c r="A88" s="271" t="s">
        <v>613</v>
      </c>
      <c r="B88" s="271"/>
      <c r="C88" s="271"/>
      <c r="D88" s="271"/>
      <c r="E88" s="126">
        <f>SUM(E82:E87)</f>
        <v>3.4948932222222229E-2</v>
      </c>
      <c r="F88" s="119">
        <f>TRUNC(SUM(F82:F87),2)</f>
        <v>77</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30">
        <f t="shared" ref="F93:F98" si="1">TRUNC((($F$41+$F$78)*E93),2)</f>
        <v>0</v>
      </c>
    </row>
    <row r="94" spans="1:6" x14ac:dyDescent="0.3">
      <c r="A94" s="117" t="s">
        <v>554</v>
      </c>
      <c r="B94" s="283" t="s">
        <v>619</v>
      </c>
      <c r="C94" s="283"/>
      <c r="D94" s="283"/>
      <c r="E94" s="208">
        <f>(8/30)/12</f>
        <v>2.2222222222222223E-2</v>
      </c>
      <c r="F94" s="129">
        <f t="shared" si="1"/>
        <v>80.33</v>
      </c>
    </row>
    <row r="95" spans="1:6" x14ac:dyDescent="0.3">
      <c r="A95" s="115" t="s">
        <v>556</v>
      </c>
      <c r="B95" s="282" t="s">
        <v>620</v>
      </c>
      <c r="C95" s="282"/>
      <c r="D95" s="282"/>
      <c r="E95" s="207">
        <f>(((20/30)/12)*1.416%*45.22%)</f>
        <v>3.557306666666666E-4</v>
      </c>
      <c r="F95" s="130">
        <f t="shared" si="1"/>
        <v>1.28</v>
      </c>
    </row>
    <row r="96" spans="1:6" x14ac:dyDescent="0.3">
      <c r="A96" s="117" t="s">
        <v>558</v>
      </c>
      <c r="B96" s="283" t="s">
        <v>621</v>
      </c>
      <c r="C96" s="283"/>
      <c r="D96" s="283"/>
      <c r="E96" s="208">
        <f>((15/30)/12)*0.44%</f>
        <v>1.8333333333333334E-4</v>
      </c>
      <c r="F96" s="129">
        <f t="shared" si="1"/>
        <v>0.66</v>
      </c>
    </row>
    <row r="97" spans="1:6" x14ac:dyDescent="0.3">
      <c r="A97" s="115" t="s">
        <v>560</v>
      </c>
      <c r="B97" s="282" t="s">
        <v>622</v>
      </c>
      <c r="C97" s="282"/>
      <c r="D97" s="282"/>
      <c r="E97" s="207">
        <f>(((180/30)/12*1.416%*54.78%*36.8%))</f>
        <v>1.4272600319999999E-3</v>
      </c>
      <c r="F97" s="130">
        <f t="shared" si="1"/>
        <v>5.15</v>
      </c>
    </row>
    <row r="98" spans="1:6" x14ac:dyDescent="0.3">
      <c r="A98" s="117" t="s">
        <v>562</v>
      </c>
      <c r="B98" s="283" t="s">
        <v>623</v>
      </c>
      <c r="C98" s="283"/>
      <c r="D98" s="283"/>
      <c r="E98" s="208">
        <v>0</v>
      </c>
      <c r="F98" s="129">
        <f t="shared" si="1"/>
        <v>0</v>
      </c>
    </row>
    <row r="99" spans="1:6" x14ac:dyDescent="0.3">
      <c r="A99" s="271" t="s">
        <v>624</v>
      </c>
      <c r="B99" s="271"/>
      <c r="C99" s="271"/>
      <c r="D99" s="271"/>
      <c r="E99" s="126">
        <f>SUM(E93:E98)</f>
        <v>2.4188546254222225E-2</v>
      </c>
      <c r="F99" s="119">
        <f>TRUNC(SUM(F93:F98),2)</f>
        <v>87.42</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58" t="s">
        <v>552</v>
      </c>
      <c r="B102" s="307" t="s">
        <v>628</v>
      </c>
      <c r="C102" s="307"/>
      <c r="D102" s="307"/>
      <c r="E102" s="159" t="s">
        <v>629</v>
      </c>
      <c r="F102" s="160">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4" t="s">
        <v>617</v>
      </c>
      <c r="C105" s="294"/>
      <c r="D105" s="294"/>
      <c r="E105" s="294"/>
      <c r="F105" s="128">
        <f>$F$99</f>
        <v>87.42</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87.42</v>
      </c>
    </row>
    <row r="108" spans="1:6" x14ac:dyDescent="0.3">
      <c r="A108" s="305"/>
      <c r="B108" s="305"/>
      <c r="C108" s="305"/>
      <c r="D108" s="305"/>
      <c r="E108" s="305"/>
      <c r="F108" s="305"/>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Unif!I132</f>
        <v>173.01</v>
      </c>
    </row>
    <row r="112" spans="1:6" x14ac:dyDescent="0.3">
      <c r="A112" s="110" t="s">
        <v>554</v>
      </c>
      <c r="B112" s="285" t="s">
        <v>636</v>
      </c>
      <c r="C112" s="285"/>
      <c r="D112" s="285"/>
      <c r="E112" s="285"/>
      <c r="F112" s="161">
        <v>0</v>
      </c>
    </row>
    <row r="113" spans="1:6" x14ac:dyDescent="0.3">
      <c r="A113" s="127" t="s">
        <v>556</v>
      </c>
      <c r="B113" s="293" t="s">
        <v>637</v>
      </c>
      <c r="C113" s="293"/>
      <c r="D113" s="293"/>
      <c r="E113" s="293"/>
      <c r="F113" s="160">
        <v>0</v>
      </c>
    </row>
    <row r="114" spans="1:6" x14ac:dyDescent="0.3">
      <c r="A114" s="110" t="s">
        <v>558</v>
      </c>
      <c r="B114" s="285" t="s">
        <v>638</v>
      </c>
      <c r="C114" s="285"/>
      <c r="D114" s="285"/>
      <c r="E114" s="285"/>
      <c r="F114" s="113">
        <v>0</v>
      </c>
    </row>
    <row r="115" spans="1:6" x14ac:dyDescent="0.3">
      <c r="A115" s="271" t="s">
        <v>639</v>
      </c>
      <c r="B115" s="271"/>
      <c r="C115" s="271"/>
      <c r="D115" s="271"/>
      <c r="E115" s="271"/>
      <c r="F115" s="119">
        <f>TRUNC(SUM(F111:F114),2)</f>
        <v>173.01</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62" t="s">
        <v>551</v>
      </c>
    </row>
    <row r="119" spans="1:6" x14ac:dyDescent="0.3">
      <c r="A119" s="127" t="s">
        <v>552</v>
      </c>
      <c r="B119" s="293" t="s">
        <v>642</v>
      </c>
      <c r="C119" s="293"/>
      <c r="D119" s="293"/>
      <c r="E119" s="154">
        <f>'Salários.VA.VT.QteDias.LDI.T'!$G$46</f>
        <v>4.7300000000000002E-2</v>
      </c>
      <c r="F119" s="116">
        <f>TRUNC(($F$134*$E$119),2)</f>
        <v>186.95</v>
      </c>
    </row>
    <row r="120" spans="1:6" x14ac:dyDescent="0.3">
      <c r="A120" s="110" t="s">
        <v>554</v>
      </c>
      <c r="B120" s="285" t="s">
        <v>643</v>
      </c>
      <c r="C120" s="285"/>
      <c r="D120" s="285"/>
      <c r="E120" s="133">
        <f>'Salários.VA.VT.QteDias.LDI.T'!$G$47</f>
        <v>5.57E-2</v>
      </c>
      <c r="F120" s="118">
        <f>TRUNC((($F$134+$F$119)*E120),2)</f>
        <v>230.56</v>
      </c>
    </row>
    <row r="121" spans="1:6" x14ac:dyDescent="0.3">
      <c r="A121" s="274" t="s">
        <v>644</v>
      </c>
      <c r="B121" s="274"/>
      <c r="C121" s="274"/>
      <c r="D121" s="274"/>
      <c r="E121" s="71" t="s">
        <v>571</v>
      </c>
      <c r="F121" s="163" t="s">
        <v>551</v>
      </c>
    </row>
    <row r="122" spans="1:6" x14ac:dyDescent="0.3">
      <c r="A122" s="110" t="s">
        <v>552</v>
      </c>
      <c r="B122" s="285" t="s">
        <v>93</v>
      </c>
      <c r="C122" s="285"/>
      <c r="D122" s="285"/>
      <c r="E122" s="209">
        <v>6.4999999999999997E-3</v>
      </c>
      <c r="F122" s="118">
        <f>TRUNC(((($F$134+$F$119+$F$120)/0.9135)*E122),2)</f>
        <v>31.09</v>
      </c>
    </row>
    <row r="123" spans="1:6" x14ac:dyDescent="0.3">
      <c r="A123" s="68" t="s">
        <v>554</v>
      </c>
      <c r="B123" s="294" t="s">
        <v>645</v>
      </c>
      <c r="C123" s="294"/>
      <c r="D123" s="294"/>
      <c r="E123" s="210">
        <v>0.03</v>
      </c>
      <c r="F123" s="135">
        <f>TRUNC(((($F$134+$F$119+$F$120)/0.9135)*E123),2)</f>
        <v>143.51</v>
      </c>
    </row>
    <row r="124" spans="1:6" x14ac:dyDescent="0.3">
      <c r="A124" s="110" t="s">
        <v>556</v>
      </c>
      <c r="B124" s="285" t="s">
        <v>95</v>
      </c>
      <c r="C124" s="285"/>
      <c r="D124" s="285"/>
      <c r="E124" s="209">
        <v>0.05</v>
      </c>
      <c r="F124" s="118">
        <f>TRUNC(((($F$134+$F$119+$F$120)/0.9135)*E124),2)</f>
        <v>239.18</v>
      </c>
    </row>
    <row r="125" spans="1:6" x14ac:dyDescent="0.3">
      <c r="A125" s="271" t="s">
        <v>646</v>
      </c>
      <c r="B125" s="271"/>
      <c r="C125" s="271"/>
      <c r="D125" s="271"/>
      <c r="E125" s="126">
        <f>SUM(E122:E124)</f>
        <v>8.6499999999999994E-2</v>
      </c>
      <c r="F125" s="119">
        <f>TRUNC(SUM($F$119,$F$120,$F$122,$F$123,$F$124),2)</f>
        <v>831.29</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6" x14ac:dyDescent="0.3">
      <c r="A129" s="110" t="s">
        <v>552</v>
      </c>
      <c r="B129" s="285" t="s">
        <v>649</v>
      </c>
      <c r="C129" s="285"/>
      <c r="D129" s="285"/>
      <c r="E129" s="285"/>
      <c r="F129" s="113">
        <f>$F$41</f>
        <v>1983.35</v>
      </c>
    </row>
    <row r="130" spans="1:6" x14ac:dyDescent="0.3">
      <c r="A130" s="127" t="s">
        <v>554</v>
      </c>
      <c r="B130" s="293" t="s">
        <v>650</v>
      </c>
      <c r="C130" s="293"/>
      <c r="D130" s="293"/>
      <c r="E130" s="293"/>
      <c r="F130" s="128">
        <f>$F$78</f>
        <v>1631.71</v>
      </c>
    </row>
    <row r="131" spans="1:6" x14ac:dyDescent="0.3">
      <c r="A131" s="110" t="s">
        <v>556</v>
      </c>
      <c r="B131" s="285" t="s">
        <v>651</v>
      </c>
      <c r="C131" s="285"/>
      <c r="D131" s="285"/>
      <c r="E131" s="285"/>
      <c r="F131" s="113">
        <f>$F$88</f>
        <v>77</v>
      </c>
    </row>
    <row r="132" spans="1:6" x14ac:dyDescent="0.3">
      <c r="A132" s="127" t="s">
        <v>558</v>
      </c>
      <c r="B132" s="293" t="s">
        <v>652</v>
      </c>
      <c r="C132" s="293"/>
      <c r="D132" s="293"/>
      <c r="E132" s="293"/>
      <c r="F132" s="128">
        <f>$F$107</f>
        <v>87.42</v>
      </c>
    </row>
    <row r="133" spans="1:6" x14ac:dyDescent="0.3">
      <c r="A133" s="110" t="s">
        <v>560</v>
      </c>
      <c r="B133" s="285" t="s">
        <v>653</v>
      </c>
      <c r="C133" s="285"/>
      <c r="D133" s="285"/>
      <c r="E133" s="285"/>
      <c r="F133" s="113">
        <f>$F$115</f>
        <v>173.01</v>
      </c>
    </row>
    <row r="134" spans="1:6" x14ac:dyDescent="0.3">
      <c r="A134" s="286" t="s">
        <v>654</v>
      </c>
      <c r="B134" s="286"/>
      <c r="C134" s="286"/>
      <c r="D134" s="286"/>
      <c r="E134" s="286"/>
      <c r="F134" s="128">
        <f>TRUNC(SUM(F129:F133),2)</f>
        <v>3952.49</v>
      </c>
    </row>
    <row r="135" spans="1:6" x14ac:dyDescent="0.3">
      <c r="A135" s="110" t="s">
        <v>562</v>
      </c>
      <c r="B135" s="281" t="s">
        <v>655</v>
      </c>
      <c r="C135" s="281"/>
      <c r="D135" s="281"/>
      <c r="E135" s="281"/>
      <c r="F135" s="113">
        <f>TRUNC(($F$125),2)</f>
        <v>831.29</v>
      </c>
    </row>
    <row r="136" spans="1:6" ht="16.5" customHeight="1" x14ac:dyDescent="0.3">
      <c r="A136" s="286" t="s">
        <v>656</v>
      </c>
      <c r="B136" s="286"/>
      <c r="C136" s="286"/>
      <c r="D136" s="286"/>
      <c r="E136" s="286"/>
      <c r="F136" s="128">
        <f>TRUNC(($F$134 + $F$135),2)</f>
        <v>4783.78</v>
      </c>
    </row>
    <row r="137" spans="1:6" ht="16.5" customHeight="1" x14ac:dyDescent="0.3">
      <c r="A137" s="270"/>
      <c r="B137" s="270"/>
      <c r="C137" s="270"/>
      <c r="D137" s="270"/>
      <c r="E137" s="270"/>
      <c r="F137" s="270"/>
    </row>
    <row r="138" spans="1:6" ht="16.5" customHeight="1" x14ac:dyDescent="0.3">
      <c r="A138" s="223" t="s">
        <v>657</v>
      </c>
      <c r="B138" s="223"/>
      <c r="C138" s="223"/>
      <c r="D138" s="223"/>
      <c r="E138" s="223"/>
      <c r="F138" s="223"/>
    </row>
    <row r="139" spans="1:6" x14ac:dyDescent="0.3">
      <c r="A139" s="136" t="s">
        <v>658</v>
      </c>
      <c r="B139" s="111" t="s">
        <v>659</v>
      </c>
      <c r="C139" s="111" t="s">
        <v>660</v>
      </c>
      <c r="D139" s="111" t="s">
        <v>661</v>
      </c>
      <c r="E139" s="111" t="s">
        <v>662</v>
      </c>
      <c r="F139" s="111" t="s">
        <v>112</v>
      </c>
    </row>
    <row r="140" spans="1:6" x14ac:dyDescent="0.3">
      <c r="A140" s="137" t="str">
        <f>$C$26</f>
        <v>Recepcionista</v>
      </c>
      <c r="B140" s="138">
        <f>$F$136</f>
        <v>4783.78</v>
      </c>
      <c r="C140" s="137">
        <f>$C$22</f>
        <v>1</v>
      </c>
      <c r="D140" s="137">
        <f>$C$18</f>
        <v>12</v>
      </c>
      <c r="E140" s="138">
        <f>TRUNC(($B$140 * $C$140),2)</f>
        <v>4783.78</v>
      </c>
      <c r="F140" s="138">
        <f>TRUNC(($D$140 * $E$140),2)</f>
        <v>57405.36</v>
      </c>
    </row>
    <row r="141" spans="1:6" x14ac:dyDescent="0.3">
      <c r="A141" s="139"/>
      <c r="B141" s="139"/>
      <c r="C141" s="139"/>
      <c r="D141" s="139"/>
      <c r="E141" s="139"/>
      <c r="F141" s="139"/>
    </row>
    <row r="142" spans="1:6" x14ac:dyDescent="0.3">
      <c r="A142" s="139"/>
      <c r="B142" s="139"/>
      <c r="C142" s="139"/>
      <c r="D142" s="139"/>
      <c r="E142" s="139"/>
      <c r="F142" s="139"/>
    </row>
  </sheetData>
  <sheetProtection sheet="1" objects="1" scenarios="1"/>
  <protectedRanges>
    <protectedRange sqref="E122:E124" name="Intervalo6"/>
    <protectedRange sqref="E82:E87" name="Intervalo4"/>
    <protectedRange sqref="F35:F40 C28:F28 C30:F3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500-000000000000}"/>
    <hyperlink ref="C27" r:id="rId2" xr:uid="{00000000-0004-0000-1500-000001000000}"/>
  </hyperlinks>
  <pageMargins left="0.7" right="0.7" top="0.75" bottom="0.75" header="0.511811023622047" footer="0.511811023622047"/>
  <pageSetup paperSize="9" orientation="portrait" horizontalDpi="300" verticalDpi="300"/>
  <drawing r:id="rId3"/>
  <legacyDrawing r:id="rId4"/>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143"/>
  <sheetViews>
    <sheetView zoomScale="130" zoomScaleNormal="13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ht="15" customHeight="1"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8" x14ac:dyDescent="0.3">
      <c r="A17" s="226"/>
      <c r="B17" s="226"/>
      <c r="C17" s="277" t="s">
        <v>533</v>
      </c>
      <c r="D17" s="277"/>
      <c r="E17" s="277"/>
      <c r="F17" s="277"/>
    </row>
    <row r="18" spans="1:8" x14ac:dyDescent="0.3">
      <c r="A18" s="274" t="s">
        <v>534</v>
      </c>
      <c r="B18" s="274"/>
      <c r="C18" s="274">
        <v>12</v>
      </c>
      <c r="D18" s="274"/>
      <c r="E18" s="274"/>
      <c r="F18" s="274"/>
    </row>
    <row r="19" spans="1:8" x14ac:dyDescent="0.3">
      <c r="A19" s="270"/>
      <c r="B19" s="270"/>
      <c r="C19" s="270"/>
      <c r="D19" s="270"/>
      <c r="E19" s="270"/>
      <c r="F19" s="270"/>
    </row>
    <row r="20" spans="1:8" x14ac:dyDescent="0.3">
      <c r="A20" s="271" t="s">
        <v>535</v>
      </c>
      <c r="B20" s="271"/>
      <c r="C20" s="271"/>
      <c r="D20" s="271"/>
      <c r="E20" s="271"/>
      <c r="F20" s="271"/>
    </row>
    <row r="21" spans="1:8" x14ac:dyDescent="0.3">
      <c r="A21" s="272" t="s">
        <v>536</v>
      </c>
      <c r="B21" s="272"/>
      <c r="C21" s="272" t="s">
        <v>537</v>
      </c>
      <c r="D21" s="272"/>
      <c r="E21" s="272"/>
      <c r="F21" s="272"/>
    </row>
    <row r="22" spans="1:8" ht="27" customHeight="1" x14ac:dyDescent="0.3">
      <c r="A22" s="227" t="s">
        <v>538</v>
      </c>
      <c r="B22" s="227"/>
      <c r="C22" s="274">
        <v>1</v>
      </c>
      <c r="D22" s="274"/>
      <c r="E22" s="274"/>
      <c r="F22" s="274"/>
    </row>
    <row r="23" spans="1:8" x14ac:dyDescent="0.3">
      <c r="A23" s="270"/>
      <c r="B23" s="270"/>
      <c r="C23" s="270"/>
      <c r="D23" s="270"/>
      <c r="E23" s="270"/>
      <c r="F23" s="270"/>
    </row>
    <row r="24" spans="1:8" x14ac:dyDescent="0.3">
      <c r="A24" s="271" t="s">
        <v>539</v>
      </c>
      <c r="B24" s="271"/>
      <c r="C24" s="271"/>
      <c r="D24" s="271"/>
      <c r="E24" s="271"/>
      <c r="F24" s="271"/>
    </row>
    <row r="25" spans="1:8" x14ac:dyDescent="0.3">
      <c r="A25" s="274" t="s">
        <v>540</v>
      </c>
      <c r="B25" s="274"/>
      <c r="C25" s="274"/>
      <c r="D25" s="274"/>
      <c r="E25" s="274"/>
      <c r="F25" s="274"/>
    </row>
    <row r="26" spans="1:8" ht="21" customHeight="1" x14ac:dyDescent="0.3">
      <c r="A26" s="226" t="s">
        <v>541</v>
      </c>
      <c r="B26" s="226"/>
      <c r="C26" s="272" t="s">
        <v>49</v>
      </c>
      <c r="D26" s="272"/>
      <c r="E26" s="272"/>
      <c r="F26" s="272"/>
    </row>
    <row r="27" spans="1:8" x14ac:dyDescent="0.3">
      <c r="A27" s="274" t="s">
        <v>542</v>
      </c>
      <c r="B27" s="274"/>
      <c r="C27" s="303" t="s">
        <v>667</v>
      </c>
      <c r="D27" s="303"/>
      <c r="E27" s="303"/>
      <c r="F27" s="303"/>
    </row>
    <row r="28" spans="1:8" x14ac:dyDescent="0.3">
      <c r="A28" s="272" t="s">
        <v>544</v>
      </c>
      <c r="B28" s="272"/>
      <c r="C28" s="279">
        <f>'Salários.VA.VT.QteDias.LDI.T'!H3</f>
        <v>1586.86</v>
      </c>
      <c r="D28" s="279"/>
      <c r="E28" s="279"/>
      <c r="F28" s="279"/>
    </row>
    <row r="29" spans="1:8" ht="24.75" customHeight="1" x14ac:dyDescent="0.3">
      <c r="A29" s="227" t="s">
        <v>545</v>
      </c>
      <c r="B29" s="227"/>
      <c r="C29" s="274" t="s">
        <v>546</v>
      </c>
      <c r="D29" s="274"/>
      <c r="E29" s="274"/>
      <c r="F29" s="274"/>
      <c r="H29" s="140"/>
    </row>
    <row r="30" spans="1:8" x14ac:dyDescent="0.3">
      <c r="A30" s="272" t="s">
        <v>547</v>
      </c>
      <c r="B30" s="272"/>
      <c r="C30" s="276" t="s">
        <v>548</v>
      </c>
      <c r="D30" s="276"/>
      <c r="E30" s="276"/>
      <c r="F30" s="276"/>
    </row>
    <row r="31" spans="1:8" x14ac:dyDescent="0.3">
      <c r="A31" s="280" t="s">
        <v>549</v>
      </c>
      <c r="B31" s="280"/>
      <c r="C31" s="280"/>
      <c r="D31" s="280"/>
      <c r="E31" s="280"/>
      <c r="F31" s="280"/>
    </row>
    <row r="32" spans="1:8"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1586.86</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v>0</v>
      </c>
    </row>
    <row r="41" spans="1:6" x14ac:dyDescent="0.3">
      <c r="A41" s="271" t="s">
        <v>566</v>
      </c>
      <c r="B41" s="271"/>
      <c r="C41" s="271"/>
      <c r="D41" s="271"/>
      <c r="E41" s="271"/>
      <c r="F41" s="119">
        <f>TRUNC(SUM(F34:F40),2)</f>
        <v>1586.86</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84" t="s">
        <v>572</v>
      </c>
      <c r="C46" s="284"/>
      <c r="D46" s="284"/>
      <c r="E46" s="120">
        <f>TRUNC((100/12),2)</f>
        <v>8.33</v>
      </c>
      <c r="F46" s="116">
        <f>TRUNC((F41*E46%),2)</f>
        <v>132.18</v>
      </c>
    </row>
    <row r="47" spans="1:6" x14ac:dyDescent="0.3">
      <c r="A47" s="117" t="s">
        <v>554</v>
      </c>
      <c r="B47" s="283" t="s">
        <v>573</v>
      </c>
      <c r="C47" s="283"/>
      <c r="D47" s="283"/>
      <c r="E47" s="121">
        <f>E46/3</f>
        <v>2.7766666666666668</v>
      </c>
      <c r="F47" s="118">
        <f>TRUNC((F41*E47%),2)</f>
        <v>44.06</v>
      </c>
    </row>
    <row r="48" spans="1:6" x14ac:dyDescent="0.3">
      <c r="A48" s="271" t="s">
        <v>574</v>
      </c>
      <c r="B48" s="271"/>
      <c r="C48" s="271"/>
      <c r="D48" s="271"/>
      <c r="E48" s="122">
        <f>SUM(E46:E47)</f>
        <v>11.106666666666667</v>
      </c>
      <c r="F48" s="119">
        <f>TRUNC((SUM(F46:F47)),2)</f>
        <v>176.24</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352.62</v>
      </c>
    </row>
    <row r="52" spans="1:6" x14ac:dyDescent="0.3">
      <c r="A52" s="117" t="s">
        <v>554</v>
      </c>
      <c r="B52" s="283" t="s">
        <v>579</v>
      </c>
      <c r="C52" s="283"/>
      <c r="D52" s="283"/>
      <c r="E52" s="124">
        <v>2.5000000000000001E-2</v>
      </c>
      <c r="F52" s="118">
        <f t="shared" si="0"/>
        <v>44.07</v>
      </c>
    </row>
    <row r="53" spans="1:6" x14ac:dyDescent="0.3">
      <c r="A53" s="115" t="s">
        <v>556</v>
      </c>
      <c r="B53" s="282" t="s">
        <v>580</v>
      </c>
      <c r="C53" s="282"/>
      <c r="D53" s="282"/>
      <c r="E53" s="207">
        <v>0.03</v>
      </c>
      <c r="F53" s="116">
        <f t="shared" si="0"/>
        <v>52.89</v>
      </c>
    </row>
    <row r="54" spans="1:6" x14ac:dyDescent="0.3">
      <c r="A54" s="117" t="s">
        <v>558</v>
      </c>
      <c r="B54" s="283" t="s">
        <v>581</v>
      </c>
      <c r="C54" s="283"/>
      <c r="D54" s="283"/>
      <c r="E54" s="124">
        <v>1.4999999999999999E-2</v>
      </c>
      <c r="F54" s="118">
        <f t="shared" si="0"/>
        <v>26.44</v>
      </c>
    </row>
    <row r="55" spans="1:6" x14ac:dyDescent="0.3">
      <c r="A55" s="115" t="s">
        <v>560</v>
      </c>
      <c r="B55" s="282" t="s">
        <v>582</v>
      </c>
      <c r="C55" s="282"/>
      <c r="D55" s="282"/>
      <c r="E55" s="123">
        <v>0.01</v>
      </c>
      <c r="F55" s="116">
        <f t="shared" si="0"/>
        <v>17.63</v>
      </c>
    </row>
    <row r="56" spans="1:6" x14ac:dyDescent="0.3">
      <c r="A56" s="117" t="s">
        <v>562</v>
      </c>
      <c r="B56" s="283" t="s">
        <v>583</v>
      </c>
      <c r="C56" s="283"/>
      <c r="D56" s="283"/>
      <c r="E56" s="124">
        <v>6.0000000000000001E-3</v>
      </c>
      <c r="F56" s="118">
        <f t="shared" si="0"/>
        <v>10.57</v>
      </c>
    </row>
    <row r="57" spans="1:6" x14ac:dyDescent="0.3">
      <c r="A57" s="115" t="s">
        <v>564</v>
      </c>
      <c r="B57" s="282" t="s">
        <v>584</v>
      </c>
      <c r="C57" s="282"/>
      <c r="D57" s="282"/>
      <c r="E57" s="123">
        <v>2E-3</v>
      </c>
      <c r="F57" s="116">
        <f t="shared" si="0"/>
        <v>3.52</v>
      </c>
    </row>
    <row r="58" spans="1:6" x14ac:dyDescent="0.3">
      <c r="A58" s="117" t="s">
        <v>585</v>
      </c>
      <c r="B58" s="283" t="s">
        <v>586</v>
      </c>
      <c r="C58" s="283"/>
      <c r="D58" s="283"/>
      <c r="E58" s="124">
        <v>0.08</v>
      </c>
      <c r="F58" s="118">
        <f t="shared" si="0"/>
        <v>141.04</v>
      </c>
    </row>
    <row r="59" spans="1:6" x14ac:dyDescent="0.3">
      <c r="A59" s="271" t="s">
        <v>587</v>
      </c>
      <c r="B59" s="271"/>
      <c r="C59" s="271"/>
      <c r="D59" s="271"/>
      <c r="E59" s="126">
        <f>SUM(E51:E58)</f>
        <v>0.36800000000000005</v>
      </c>
      <c r="F59" s="119">
        <f>TRUNC((SUM(F51:F58)),2)</f>
        <v>648.78</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'Salários.VA.VT.QteDias.LDI.T'!E41</f>
        <v>21</v>
      </c>
      <c r="E63" s="113">
        <f>TRUNC(($F$34*6%),2)</f>
        <v>95.21</v>
      </c>
      <c r="F63" s="118">
        <f>TRUNC(IF(E63&gt;=189,0,((B63*C63*D63)-E63)),2)</f>
        <v>93.79</v>
      </c>
    </row>
    <row r="64" spans="1:6" x14ac:dyDescent="0.3">
      <c r="A64" s="286" t="s">
        <v>554</v>
      </c>
      <c r="B64" s="286" t="s">
        <v>595</v>
      </c>
      <c r="C64" s="286"/>
      <c r="D64" s="127" t="s">
        <v>593</v>
      </c>
      <c r="E64" s="127" t="s">
        <v>594</v>
      </c>
      <c r="F64" s="115" t="s">
        <v>551</v>
      </c>
    </row>
    <row r="65" spans="1:6" x14ac:dyDescent="0.3">
      <c r="A65" s="286"/>
      <c r="B65" s="287">
        <f>'Salários.VA.VT.QteDias.LDI.T'!E20</f>
        <v>26.7</v>
      </c>
      <c r="C65" s="287"/>
      <c r="D65" s="127">
        <f>'Salários.VA.VT.QteDias.LDI.T'!E41</f>
        <v>21</v>
      </c>
      <c r="E65" s="128">
        <f>TRUNC(0.1*(B65*D65),2)</f>
        <v>56.07</v>
      </c>
      <c r="F65" s="116">
        <f>TRUNC(((B65*D65)-E65),2)</f>
        <v>504.63</v>
      </c>
    </row>
    <row r="66" spans="1:6" x14ac:dyDescent="0.3">
      <c r="A66" s="272" t="s">
        <v>556</v>
      </c>
      <c r="B66" s="283" t="s">
        <v>596</v>
      </c>
      <c r="C66" s="283"/>
      <c r="D66" s="283"/>
      <c r="E66" s="283"/>
      <c r="F66" s="117" t="s">
        <v>551</v>
      </c>
    </row>
    <row r="67" spans="1:6" x14ac:dyDescent="0.3">
      <c r="A67" s="272"/>
      <c r="B67" s="283"/>
      <c r="C67" s="283"/>
      <c r="D67" s="283"/>
      <c r="E67" s="283"/>
      <c r="F67" s="205">
        <v>6</v>
      </c>
    </row>
    <row r="68" spans="1:6" x14ac:dyDescent="0.3">
      <c r="A68" s="286" t="s">
        <v>558</v>
      </c>
      <c r="B68" s="282" t="s">
        <v>597</v>
      </c>
      <c r="C68" s="282"/>
      <c r="D68" s="282"/>
      <c r="E68" s="282"/>
      <c r="F68" s="115" t="s">
        <v>551</v>
      </c>
    </row>
    <row r="69" spans="1:6" x14ac:dyDescent="0.3">
      <c r="A69" s="286"/>
      <c r="B69" s="282"/>
      <c r="C69" s="282"/>
      <c r="D69" s="282"/>
      <c r="E69" s="282"/>
      <c r="F69" s="206">
        <v>19.899999999999999</v>
      </c>
    </row>
    <row r="70" spans="1:6" x14ac:dyDescent="0.3">
      <c r="A70" s="272" t="s">
        <v>560</v>
      </c>
      <c r="B70" s="283" t="s">
        <v>565</v>
      </c>
      <c r="C70" s="283"/>
      <c r="D70" s="283"/>
      <c r="E70" s="283"/>
      <c r="F70" s="117" t="s">
        <v>551</v>
      </c>
    </row>
    <row r="71" spans="1:6" x14ac:dyDescent="0.3">
      <c r="A71" s="272"/>
      <c r="B71" s="283"/>
      <c r="C71" s="283"/>
      <c r="D71" s="283"/>
      <c r="E71" s="283"/>
      <c r="F71" s="205">
        <v>0</v>
      </c>
    </row>
    <row r="72" spans="1:6" x14ac:dyDescent="0.3">
      <c r="A72" s="271" t="s">
        <v>598</v>
      </c>
      <c r="B72" s="271"/>
      <c r="C72" s="271"/>
      <c r="D72" s="271"/>
      <c r="E72" s="271"/>
      <c r="F72" s="119">
        <f>TRUNC(SUM(F63,F65,F67,F69,F71),2)</f>
        <v>624.32000000000005</v>
      </c>
    </row>
    <row r="73" spans="1:6" x14ac:dyDescent="0.3">
      <c r="A73" s="253" t="s">
        <v>599</v>
      </c>
      <c r="B73" s="253"/>
      <c r="C73" s="253"/>
      <c r="D73" s="253"/>
      <c r="E73" s="253"/>
      <c r="F73" s="253"/>
    </row>
    <row r="74" spans="1:6" x14ac:dyDescent="0.3">
      <c r="A74" s="110" t="s">
        <v>600</v>
      </c>
      <c r="B74" s="288" t="s">
        <v>601</v>
      </c>
      <c r="C74" s="288"/>
      <c r="D74" s="288"/>
      <c r="E74" s="288"/>
      <c r="F74" s="110" t="s">
        <v>551</v>
      </c>
    </row>
    <row r="75" spans="1:6" x14ac:dyDescent="0.3">
      <c r="A75" s="127" t="s">
        <v>569</v>
      </c>
      <c r="B75" s="289" t="s">
        <v>602</v>
      </c>
      <c r="C75" s="289"/>
      <c r="D75" s="289"/>
      <c r="E75" s="289"/>
      <c r="F75" s="128">
        <f>$F$48</f>
        <v>176.24</v>
      </c>
    </row>
    <row r="76" spans="1:6" x14ac:dyDescent="0.3">
      <c r="A76" s="110" t="s">
        <v>576</v>
      </c>
      <c r="B76" s="288" t="s">
        <v>603</v>
      </c>
      <c r="C76" s="288"/>
      <c r="D76" s="288"/>
      <c r="E76" s="288"/>
      <c r="F76" s="113">
        <f>$F$59</f>
        <v>648.78</v>
      </c>
    </row>
    <row r="77" spans="1:6" x14ac:dyDescent="0.3">
      <c r="A77" s="127" t="s">
        <v>589</v>
      </c>
      <c r="B77" s="289" t="s">
        <v>590</v>
      </c>
      <c r="C77" s="289"/>
      <c r="D77" s="289"/>
      <c r="E77" s="289"/>
      <c r="F77" s="128">
        <f>$F$72</f>
        <v>624.32000000000005</v>
      </c>
    </row>
    <row r="78" spans="1:6" x14ac:dyDescent="0.3">
      <c r="A78" s="271" t="s">
        <v>604</v>
      </c>
      <c r="B78" s="271"/>
      <c r="C78" s="271"/>
      <c r="D78" s="271"/>
      <c r="E78" s="271"/>
      <c r="F78" s="119">
        <f>TRUNC(SUM(F75:F77),2)</f>
        <v>1449.34</v>
      </c>
    </row>
    <row r="79" spans="1:6" x14ac:dyDescent="0.3">
      <c r="A79" s="270"/>
      <c r="B79" s="270"/>
      <c r="C79" s="270"/>
      <c r="D79" s="270"/>
      <c r="E79" s="270"/>
      <c r="F79" s="270"/>
    </row>
    <row r="80" spans="1:6"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4.58</v>
      </c>
    </row>
    <row r="83" spans="1:6" x14ac:dyDescent="0.3">
      <c r="A83" s="117" t="s">
        <v>554</v>
      </c>
      <c r="B83" s="283" t="s">
        <v>608</v>
      </c>
      <c r="C83" s="283"/>
      <c r="D83" s="283"/>
      <c r="E83" s="208">
        <f>(8%*0.29%)</f>
        <v>2.32E-4</v>
      </c>
      <c r="F83" s="129">
        <f>TRUNC((($F$41+$F$48)*E83),2)</f>
        <v>0.4</v>
      </c>
    </row>
    <row r="84" spans="1:6" ht="16.5" customHeight="1" x14ac:dyDescent="0.3">
      <c r="A84" s="115" t="s">
        <v>556</v>
      </c>
      <c r="B84" s="290" t="s">
        <v>609</v>
      </c>
      <c r="C84" s="290"/>
      <c r="D84" s="290"/>
      <c r="E84" s="207">
        <f>(56.24%)*5.55%*40%*8%</f>
        <v>9.9882240000000004E-4</v>
      </c>
      <c r="F84" s="116">
        <f>TRUNC((($F$41+$F$48)*E84),2)</f>
        <v>1.76</v>
      </c>
    </row>
    <row r="85" spans="1:6" x14ac:dyDescent="0.3">
      <c r="A85" s="117" t="s">
        <v>558</v>
      </c>
      <c r="B85" s="283" t="s">
        <v>610</v>
      </c>
      <c r="C85" s="283"/>
      <c r="D85" s="283"/>
      <c r="E85" s="208">
        <f>((56.24%)*94.45%*(7/30)/12)</f>
        <v>1.0328632222222222E-2</v>
      </c>
      <c r="F85" s="129">
        <f>TRUNC((($F$41+$F$48)*E85),2)</f>
        <v>18.21</v>
      </c>
    </row>
    <row r="86" spans="1:6" x14ac:dyDescent="0.3">
      <c r="A86" s="116" t="s">
        <v>560</v>
      </c>
      <c r="B86" s="291" t="s">
        <v>611</v>
      </c>
      <c r="C86" s="291"/>
      <c r="D86" s="291"/>
      <c r="E86" s="207">
        <f>1.03%*36.8%</f>
        <v>3.7904000000000002E-3</v>
      </c>
      <c r="F86" s="116">
        <f>TRUNC((($F$41+$F$48)*E86),2)</f>
        <v>6.68</v>
      </c>
    </row>
    <row r="87" spans="1:6" x14ac:dyDescent="0.3">
      <c r="A87" s="117" t="s">
        <v>562</v>
      </c>
      <c r="B87" s="283" t="s">
        <v>612</v>
      </c>
      <c r="C87" s="283"/>
      <c r="D87" s="283"/>
      <c r="E87" s="208">
        <f>(56.24%)*94.45%*40%*8%</f>
        <v>1.6997977600000002E-2</v>
      </c>
      <c r="F87" s="129">
        <f>TRUNC((($F$41+F48)*E87),2)</f>
        <v>29.96</v>
      </c>
    </row>
    <row r="88" spans="1:6" x14ac:dyDescent="0.3">
      <c r="A88" s="271" t="s">
        <v>613</v>
      </c>
      <c r="B88" s="271"/>
      <c r="C88" s="271"/>
      <c r="D88" s="271"/>
      <c r="E88" s="126">
        <f>SUM(E82:E87)</f>
        <v>3.4948932222222229E-2</v>
      </c>
      <c r="F88" s="119">
        <f>TRUNC(SUM(F82:F87),2)</f>
        <v>61.59</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16">
        <f t="shared" ref="F93:F98" si="1">TRUNC((($F$41+$F$78)*E93),2)</f>
        <v>0</v>
      </c>
    </row>
    <row r="94" spans="1:6" x14ac:dyDescent="0.3">
      <c r="A94" s="117" t="s">
        <v>554</v>
      </c>
      <c r="B94" s="283" t="s">
        <v>619</v>
      </c>
      <c r="C94" s="283"/>
      <c r="D94" s="283"/>
      <c r="E94" s="208">
        <f>(8/30)/12</f>
        <v>2.2222222222222223E-2</v>
      </c>
      <c r="F94" s="118">
        <f t="shared" si="1"/>
        <v>67.47</v>
      </c>
    </row>
    <row r="95" spans="1:6" x14ac:dyDescent="0.3">
      <c r="A95" s="115" t="s">
        <v>556</v>
      </c>
      <c r="B95" s="282" t="s">
        <v>620</v>
      </c>
      <c r="C95" s="282"/>
      <c r="D95" s="282"/>
      <c r="E95" s="207">
        <f>(((20/30)/12)*1.416%*45.22%)</f>
        <v>3.557306666666666E-4</v>
      </c>
      <c r="F95" s="116">
        <f t="shared" si="1"/>
        <v>1.08</v>
      </c>
    </row>
    <row r="96" spans="1:6" x14ac:dyDescent="0.3">
      <c r="A96" s="117" t="s">
        <v>558</v>
      </c>
      <c r="B96" s="283" t="s">
        <v>621</v>
      </c>
      <c r="C96" s="283"/>
      <c r="D96" s="283"/>
      <c r="E96" s="208">
        <f>((15/30)/12)*0.44%</f>
        <v>1.8333333333333334E-4</v>
      </c>
      <c r="F96" s="118">
        <f t="shared" si="1"/>
        <v>0.55000000000000004</v>
      </c>
    </row>
    <row r="97" spans="1:6" x14ac:dyDescent="0.3">
      <c r="A97" s="115" t="s">
        <v>560</v>
      </c>
      <c r="B97" s="282" t="s">
        <v>622</v>
      </c>
      <c r="C97" s="282"/>
      <c r="D97" s="282"/>
      <c r="E97" s="207">
        <f>(((180/30)/12*1.416%*54.78%*36.8%))</f>
        <v>1.4272600319999999E-3</v>
      </c>
      <c r="F97" s="116">
        <f t="shared" si="1"/>
        <v>4.33</v>
      </c>
    </row>
    <row r="98" spans="1:6" x14ac:dyDescent="0.3">
      <c r="A98" s="117" t="s">
        <v>562</v>
      </c>
      <c r="B98" s="283" t="s">
        <v>623</v>
      </c>
      <c r="C98" s="283"/>
      <c r="D98" s="283"/>
      <c r="E98" s="208">
        <v>0</v>
      </c>
      <c r="F98" s="118">
        <f t="shared" si="1"/>
        <v>0</v>
      </c>
    </row>
    <row r="99" spans="1:6" x14ac:dyDescent="0.3">
      <c r="A99" s="271" t="s">
        <v>624</v>
      </c>
      <c r="B99" s="271"/>
      <c r="C99" s="271"/>
      <c r="D99" s="271"/>
      <c r="E99" s="126">
        <f>SUM(E93:E98)</f>
        <v>2.4188546254222225E-2</v>
      </c>
      <c r="F99" s="119">
        <f>TRUNC(SUM(F93:F98),2)</f>
        <v>73.430000000000007</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58" t="s">
        <v>552</v>
      </c>
      <c r="B102" s="307" t="s">
        <v>628</v>
      </c>
      <c r="C102" s="307"/>
      <c r="D102" s="307"/>
      <c r="E102" s="159" t="s">
        <v>629</v>
      </c>
      <c r="F102" s="160">
        <v>0</v>
      </c>
    </row>
    <row r="103" spans="1:6" x14ac:dyDescent="0.3">
      <c r="A103" s="272" t="s">
        <v>630</v>
      </c>
      <c r="B103" s="272"/>
      <c r="C103" s="272"/>
      <c r="D103" s="272"/>
      <c r="E103" s="272"/>
      <c r="F103" s="272"/>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73.430000000000007</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73.430000000000007</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Unif!I108</f>
        <v>130.84</v>
      </c>
    </row>
    <row r="112" spans="1:6" x14ac:dyDescent="0.3">
      <c r="A112" s="110" t="s">
        <v>554</v>
      </c>
      <c r="B112" s="285" t="s">
        <v>668</v>
      </c>
      <c r="C112" s="285"/>
      <c r="D112" s="285"/>
      <c r="E112" s="285"/>
      <c r="F112" s="161">
        <v>0</v>
      </c>
    </row>
    <row r="113" spans="1:6" x14ac:dyDescent="0.3">
      <c r="A113" s="127" t="s">
        <v>556</v>
      </c>
      <c r="B113" s="293" t="s">
        <v>637</v>
      </c>
      <c r="C113" s="293"/>
      <c r="D113" s="293"/>
      <c r="E113" s="293"/>
      <c r="F113" s="160">
        <f>MP!P7</f>
        <v>85.6</v>
      </c>
    </row>
    <row r="114" spans="1:6" x14ac:dyDescent="0.3">
      <c r="A114" s="110" t="s">
        <v>558</v>
      </c>
      <c r="B114" s="285" t="s">
        <v>638</v>
      </c>
      <c r="C114" s="285"/>
      <c r="D114" s="285"/>
      <c r="E114" s="285"/>
      <c r="F114" s="113">
        <v>0</v>
      </c>
    </row>
    <row r="115" spans="1:6" x14ac:dyDescent="0.3">
      <c r="A115" s="271" t="s">
        <v>639</v>
      </c>
      <c r="B115" s="271"/>
      <c r="C115" s="271"/>
      <c r="D115" s="271"/>
      <c r="E115" s="271"/>
      <c r="F115" s="119">
        <f>TRUNC(SUM(F111:F114),2)</f>
        <v>216.44</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62" t="s">
        <v>551</v>
      </c>
    </row>
    <row r="119" spans="1:6" x14ac:dyDescent="0.3">
      <c r="A119" s="127" t="s">
        <v>552</v>
      </c>
      <c r="B119" s="293" t="s">
        <v>642</v>
      </c>
      <c r="C119" s="293"/>
      <c r="D119" s="293"/>
      <c r="E119" s="154">
        <f>'Salários.VA.VT.QteDias.LDI.T'!$G$46</f>
        <v>4.7300000000000002E-2</v>
      </c>
      <c r="F119" s="116">
        <f>TRUNC(($F$134*$E$119),2)</f>
        <v>160.22999999999999</v>
      </c>
    </row>
    <row r="120" spans="1:6" x14ac:dyDescent="0.3">
      <c r="A120" s="110" t="s">
        <v>554</v>
      </c>
      <c r="B120" s="285" t="s">
        <v>643</v>
      </c>
      <c r="C120" s="285"/>
      <c r="D120" s="285"/>
      <c r="E120" s="133">
        <f>'Salários.VA.VT.QteDias.LDI.T'!$G$47</f>
        <v>5.57E-2</v>
      </c>
      <c r="F120" s="118">
        <f>TRUNC((($F$134+$F$119)*E120),2)</f>
        <v>197.61</v>
      </c>
    </row>
    <row r="121" spans="1:6" x14ac:dyDescent="0.3">
      <c r="A121" s="274" t="s">
        <v>644</v>
      </c>
      <c r="B121" s="274"/>
      <c r="C121" s="274"/>
      <c r="D121" s="274"/>
      <c r="E121" s="71" t="s">
        <v>571</v>
      </c>
      <c r="F121" s="163" t="s">
        <v>551</v>
      </c>
    </row>
    <row r="122" spans="1:6" x14ac:dyDescent="0.3">
      <c r="A122" s="110" t="s">
        <v>552</v>
      </c>
      <c r="B122" s="285" t="s">
        <v>93</v>
      </c>
      <c r="C122" s="285"/>
      <c r="D122" s="285"/>
      <c r="E122" s="209">
        <v>6.4999999999999997E-3</v>
      </c>
      <c r="F122" s="118">
        <f>TRUNC(((($F$134+$F$119+$F$120)/0.9135)*E122),2)</f>
        <v>26.65</v>
      </c>
    </row>
    <row r="123" spans="1:6" x14ac:dyDescent="0.3">
      <c r="A123" s="68" t="s">
        <v>554</v>
      </c>
      <c r="B123" s="294" t="s">
        <v>645</v>
      </c>
      <c r="C123" s="294"/>
      <c r="D123" s="294"/>
      <c r="E123" s="210">
        <v>0.03</v>
      </c>
      <c r="F123" s="135">
        <f>TRUNC(((($F$134+$F$119+$F$120)/0.9135)*E123),2)</f>
        <v>123</v>
      </c>
    </row>
    <row r="124" spans="1:6" x14ac:dyDescent="0.3">
      <c r="A124" s="110" t="s">
        <v>556</v>
      </c>
      <c r="B124" s="285" t="s">
        <v>95</v>
      </c>
      <c r="C124" s="285"/>
      <c r="D124" s="285"/>
      <c r="E124" s="209">
        <v>0.05</v>
      </c>
      <c r="F124" s="118">
        <f>TRUNC(((($F$134+$F$119+$F$120)/0.9135)*E124),2)</f>
        <v>205</v>
      </c>
    </row>
    <row r="125" spans="1:6" x14ac:dyDescent="0.3">
      <c r="A125" s="271" t="s">
        <v>646</v>
      </c>
      <c r="B125" s="271"/>
      <c r="C125" s="271"/>
      <c r="D125" s="271"/>
      <c r="E125" s="126">
        <f>SUM(E122:E124)</f>
        <v>8.6499999999999994E-2</v>
      </c>
      <c r="F125" s="119">
        <f>TRUNC(SUM($F$119,$F$120,$F$122,$F$123,$F$124),2)</f>
        <v>712.49</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6" x14ac:dyDescent="0.3">
      <c r="A129" s="110" t="s">
        <v>552</v>
      </c>
      <c r="B129" s="285" t="s">
        <v>649</v>
      </c>
      <c r="C129" s="285"/>
      <c r="D129" s="285"/>
      <c r="E129" s="285"/>
      <c r="F129" s="113">
        <f>$F$41</f>
        <v>1586.86</v>
      </c>
    </row>
    <row r="130" spans="1:6" x14ac:dyDescent="0.3">
      <c r="A130" s="127" t="s">
        <v>554</v>
      </c>
      <c r="B130" s="293" t="s">
        <v>650</v>
      </c>
      <c r="C130" s="293"/>
      <c r="D130" s="293"/>
      <c r="E130" s="293"/>
      <c r="F130" s="128">
        <f>$F$78</f>
        <v>1449.34</v>
      </c>
    </row>
    <row r="131" spans="1:6" x14ac:dyDescent="0.3">
      <c r="A131" s="110" t="s">
        <v>556</v>
      </c>
      <c r="B131" s="285" t="s">
        <v>651</v>
      </c>
      <c r="C131" s="285"/>
      <c r="D131" s="285"/>
      <c r="E131" s="285"/>
      <c r="F131" s="113">
        <f>$F$88</f>
        <v>61.59</v>
      </c>
    </row>
    <row r="132" spans="1:6" x14ac:dyDescent="0.3">
      <c r="A132" s="127" t="s">
        <v>558</v>
      </c>
      <c r="B132" s="293" t="s">
        <v>652</v>
      </c>
      <c r="C132" s="293"/>
      <c r="D132" s="293"/>
      <c r="E132" s="293"/>
      <c r="F132" s="128">
        <f>$F$107</f>
        <v>73.430000000000007</v>
      </c>
    </row>
    <row r="133" spans="1:6" x14ac:dyDescent="0.3">
      <c r="A133" s="110" t="s">
        <v>560</v>
      </c>
      <c r="B133" s="285" t="s">
        <v>653</v>
      </c>
      <c r="C133" s="285"/>
      <c r="D133" s="285"/>
      <c r="E133" s="285"/>
      <c r="F133" s="113">
        <f>$F$115</f>
        <v>216.44</v>
      </c>
    </row>
    <row r="134" spans="1:6" x14ac:dyDescent="0.3">
      <c r="A134" s="286" t="s">
        <v>654</v>
      </c>
      <c r="B134" s="286"/>
      <c r="C134" s="286"/>
      <c r="D134" s="286"/>
      <c r="E134" s="286"/>
      <c r="F134" s="128">
        <f>TRUNC(SUM(F129:F133),2)</f>
        <v>3387.66</v>
      </c>
    </row>
    <row r="135" spans="1:6" x14ac:dyDescent="0.3">
      <c r="A135" s="110" t="s">
        <v>562</v>
      </c>
      <c r="B135" s="281" t="s">
        <v>655</v>
      </c>
      <c r="C135" s="281"/>
      <c r="D135" s="281"/>
      <c r="E135" s="281"/>
      <c r="F135" s="113">
        <f>TRUNC(($F$125),2)</f>
        <v>712.49</v>
      </c>
    </row>
    <row r="136" spans="1:6" ht="16.5" customHeight="1" x14ac:dyDescent="0.3">
      <c r="A136" s="286" t="s">
        <v>656</v>
      </c>
      <c r="B136" s="286"/>
      <c r="C136" s="286"/>
      <c r="D136" s="286"/>
      <c r="E136" s="286"/>
      <c r="F136" s="128">
        <f>TRUNC(($F$134 + $F$135),2)</f>
        <v>4100.1499999999996</v>
      </c>
    </row>
    <row r="137" spans="1:6" ht="16.5" customHeight="1" x14ac:dyDescent="0.3">
      <c r="A137" s="270"/>
      <c r="B137" s="270"/>
      <c r="C137" s="270"/>
      <c r="D137" s="270"/>
      <c r="E137" s="270"/>
      <c r="F137" s="270"/>
    </row>
    <row r="138" spans="1:6" ht="16.5" customHeight="1" x14ac:dyDescent="0.3">
      <c r="A138" s="223" t="s">
        <v>657</v>
      </c>
      <c r="B138" s="223"/>
      <c r="C138" s="223"/>
      <c r="D138" s="223"/>
      <c r="E138" s="223"/>
      <c r="F138" s="223"/>
    </row>
    <row r="139" spans="1:6" x14ac:dyDescent="0.3">
      <c r="A139" s="136" t="s">
        <v>658</v>
      </c>
      <c r="B139" s="111" t="s">
        <v>659</v>
      </c>
      <c r="C139" s="111" t="s">
        <v>660</v>
      </c>
      <c r="D139" s="111" t="s">
        <v>661</v>
      </c>
      <c r="E139" s="111" t="s">
        <v>662</v>
      </c>
      <c r="F139" s="111" t="s">
        <v>112</v>
      </c>
    </row>
    <row r="140" spans="1:6" x14ac:dyDescent="0.3">
      <c r="A140" s="137" t="str">
        <f>$C$26</f>
        <v>Copeiro(a)</v>
      </c>
      <c r="B140" s="138">
        <f>$F$136</f>
        <v>4100.1499999999996</v>
      </c>
      <c r="C140" s="137">
        <f>$C$22</f>
        <v>1</v>
      </c>
      <c r="D140" s="137">
        <f>$C$18</f>
        <v>12</v>
      </c>
      <c r="E140" s="138">
        <f>TRUNC(($B$140 * $C$140),2)</f>
        <v>4100.1499999999996</v>
      </c>
      <c r="F140" s="138">
        <f>TRUNC(($D$140 * $E$140),2)</f>
        <v>49201.8</v>
      </c>
    </row>
    <row r="141" spans="1:6" x14ac:dyDescent="0.3">
      <c r="A141" s="139"/>
      <c r="B141" s="139"/>
      <c r="C141" s="139"/>
      <c r="D141" s="139"/>
      <c r="E141" s="139"/>
      <c r="F141" s="139"/>
    </row>
    <row r="142" spans="1:6" x14ac:dyDescent="0.3">
      <c r="A142" s="139"/>
      <c r="B142" s="139"/>
      <c r="C142" s="139"/>
      <c r="D142" s="139"/>
      <c r="E142" s="139"/>
      <c r="F142" s="139"/>
    </row>
    <row r="143" spans="1:6" x14ac:dyDescent="0.3">
      <c r="A143" s="32"/>
      <c r="B143" s="32"/>
      <c r="C143" s="32"/>
      <c r="D143" s="32"/>
      <c r="E143" s="32"/>
      <c r="F143" s="32"/>
    </row>
  </sheetData>
  <sheetProtection sheet="1" objects="1" scenarios="1"/>
  <protectedRanges>
    <protectedRange sqref="E122:E124" name="Intervalo6"/>
    <protectedRange sqref="E82:E87" name="Intervalo4"/>
    <protectedRange sqref="F35:F40 C30:F30 C28:F28"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600-000000000000}"/>
    <hyperlink ref="C27" r:id="rId2" xr:uid="{00000000-0004-0000-1600-000001000000}"/>
  </hyperlinks>
  <pageMargins left="0.7" right="0.7" top="0.75" bottom="0.75" header="0.511811023622047" footer="0.511811023622047"/>
  <pageSetup paperSize="9" orientation="portrait" horizontalDpi="300" verticalDpi="300"/>
  <drawing r:id="rId3"/>
  <legacyDrawing r:id="rId4"/>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42"/>
  <sheetViews>
    <sheetView zoomScale="120" zoomScaleNormal="12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669</v>
      </c>
      <c r="D16" s="277"/>
      <c r="E16" s="277"/>
      <c r="F16" s="277"/>
    </row>
    <row r="17" spans="1:6" x14ac:dyDescent="0.3">
      <c r="A17" s="226"/>
      <c r="B17" s="226"/>
      <c r="C17" s="277" t="s">
        <v>670</v>
      </c>
      <c r="D17" s="277"/>
      <c r="E17" s="277"/>
      <c r="F17" s="277"/>
    </row>
    <row r="18" spans="1:6" x14ac:dyDescent="0.3">
      <c r="A18" s="274" t="s">
        <v>534</v>
      </c>
      <c r="B18" s="274"/>
      <c r="C18" s="274">
        <v>12</v>
      </c>
      <c r="D18" s="274"/>
      <c r="E18" s="274"/>
      <c r="F18" s="274"/>
    </row>
    <row r="19" spans="1:6" x14ac:dyDescent="0.3">
      <c r="A19" s="270"/>
      <c r="B19" s="270"/>
      <c r="C19" s="270"/>
      <c r="D19" s="270"/>
      <c r="E19" s="270"/>
      <c r="F19" s="270"/>
    </row>
    <row r="20" spans="1:6" x14ac:dyDescent="0.3">
      <c r="A20" s="271" t="s">
        <v>535</v>
      </c>
      <c r="B20" s="271"/>
      <c r="C20" s="271"/>
      <c r="D20" s="271"/>
      <c r="E20" s="271"/>
      <c r="F20" s="271"/>
    </row>
    <row r="21" spans="1:6" x14ac:dyDescent="0.3">
      <c r="A21" s="272" t="s">
        <v>536</v>
      </c>
      <c r="B21" s="272"/>
      <c r="C21" s="272" t="s">
        <v>537</v>
      </c>
      <c r="D21" s="272"/>
      <c r="E21" s="272"/>
      <c r="F21" s="272"/>
    </row>
    <row r="22" spans="1:6" ht="27" customHeight="1" x14ac:dyDescent="0.3">
      <c r="A22" s="227" t="s">
        <v>538</v>
      </c>
      <c r="B22" s="227"/>
      <c r="C22" s="274">
        <v>2</v>
      </c>
      <c r="D22" s="274"/>
      <c r="E22" s="274"/>
      <c r="F22" s="274"/>
    </row>
    <row r="23" spans="1:6" x14ac:dyDescent="0.3">
      <c r="A23" s="270"/>
      <c r="B23" s="270"/>
      <c r="C23" s="270"/>
      <c r="D23" s="270"/>
      <c r="E23" s="270"/>
      <c r="F23" s="270"/>
    </row>
    <row r="24" spans="1:6" x14ac:dyDescent="0.3">
      <c r="A24" s="271" t="s">
        <v>539</v>
      </c>
      <c r="B24" s="271"/>
      <c r="C24" s="271"/>
      <c r="D24" s="271"/>
      <c r="E24" s="271"/>
      <c r="F24" s="271"/>
    </row>
    <row r="25" spans="1:6" x14ac:dyDescent="0.3">
      <c r="A25" s="274" t="s">
        <v>540</v>
      </c>
      <c r="B25" s="274"/>
      <c r="C25" s="274"/>
      <c r="D25" s="274"/>
      <c r="E25" s="274"/>
      <c r="F25" s="274"/>
    </row>
    <row r="26" spans="1:6" ht="21" customHeight="1" x14ac:dyDescent="0.3">
      <c r="A26" s="226" t="s">
        <v>541</v>
      </c>
      <c r="B26" s="226"/>
      <c r="C26" s="272" t="s">
        <v>47</v>
      </c>
      <c r="D26" s="272"/>
      <c r="E26" s="272"/>
      <c r="F26" s="272"/>
    </row>
    <row r="27" spans="1:6" x14ac:dyDescent="0.3">
      <c r="A27" s="274" t="s">
        <v>542</v>
      </c>
      <c r="B27" s="274"/>
      <c r="C27" s="303" t="s">
        <v>671</v>
      </c>
      <c r="D27" s="303"/>
      <c r="E27" s="303"/>
      <c r="F27" s="303"/>
    </row>
    <row r="28" spans="1:6" x14ac:dyDescent="0.3">
      <c r="A28" s="272" t="s">
        <v>544</v>
      </c>
      <c r="B28" s="272"/>
      <c r="C28" s="308">
        <f>'Salários.VA.VT.QteDias.LDI.T'!G3</f>
        <v>2148.7800000000002</v>
      </c>
      <c r="D28" s="308"/>
      <c r="E28" s="308"/>
      <c r="F28" s="308"/>
    </row>
    <row r="29" spans="1:6" ht="24.75" customHeight="1" x14ac:dyDescent="0.3">
      <c r="A29" s="227" t="s">
        <v>545</v>
      </c>
      <c r="B29" s="227"/>
      <c r="C29" s="274" t="s">
        <v>546</v>
      </c>
      <c r="D29" s="274"/>
      <c r="E29" s="274"/>
      <c r="F29" s="274"/>
    </row>
    <row r="30" spans="1:6" x14ac:dyDescent="0.3">
      <c r="A30" s="272" t="s">
        <v>547</v>
      </c>
      <c r="B30" s="272"/>
      <c r="C30" s="272" t="s">
        <v>672</v>
      </c>
      <c r="D30" s="272"/>
      <c r="E30" s="272"/>
      <c r="F30" s="272"/>
    </row>
    <row r="31" spans="1:6" x14ac:dyDescent="0.3">
      <c r="A31" s="280" t="s">
        <v>549</v>
      </c>
      <c r="B31" s="280"/>
      <c r="C31" s="280"/>
      <c r="D31" s="280"/>
      <c r="E31" s="280"/>
      <c r="F31" s="280"/>
    </row>
    <row r="32" spans="1:6" x14ac:dyDescent="0.3">
      <c r="A32" s="271" t="s">
        <v>550</v>
      </c>
      <c r="B32" s="271"/>
      <c r="C32" s="271"/>
      <c r="D32" s="271"/>
      <c r="E32" s="271"/>
      <c r="F32" s="271"/>
    </row>
    <row r="33" spans="1:6" x14ac:dyDescent="0.3">
      <c r="A33" s="110" t="s">
        <v>1</v>
      </c>
      <c r="B33" s="299" t="s">
        <v>453</v>
      </c>
      <c r="C33" s="299"/>
      <c r="D33" s="299"/>
      <c r="E33" s="299"/>
      <c r="F33" s="145" t="s">
        <v>551</v>
      </c>
    </row>
    <row r="34" spans="1:6" x14ac:dyDescent="0.3">
      <c r="A34" s="158" t="s">
        <v>552</v>
      </c>
      <c r="B34" s="307" t="s">
        <v>553</v>
      </c>
      <c r="C34" s="307"/>
      <c r="D34" s="307"/>
      <c r="E34" s="307"/>
      <c r="F34" s="160">
        <f>$C$28</f>
        <v>2148.7800000000002</v>
      </c>
    </row>
    <row r="35" spans="1:6" x14ac:dyDescent="0.3">
      <c r="A35" s="164" t="s">
        <v>554</v>
      </c>
      <c r="B35" s="309" t="s">
        <v>555</v>
      </c>
      <c r="C35" s="309"/>
      <c r="D35" s="309"/>
      <c r="E35" s="309"/>
      <c r="F35" s="215">
        <f>TRUNC((F34*0.3),2)</f>
        <v>644.63</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v>0</v>
      </c>
    </row>
    <row r="41" spans="1:6" x14ac:dyDescent="0.3">
      <c r="A41" s="271" t="s">
        <v>566</v>
      </c>
      <c r="B41" s="271"/>
      <c r="C41" s="271"/>
      <c r="D41" s="271"/>
      <c r="E41" s="271"/>
      <c r="F41" s="119">
        <f>TRUNC(SUM(F34:F40),2)</f>
        <v>2793.41</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82" t="s">
        <v>572</v>
      </c>
      <c r="C46" s="282"/>
      <c r="D46" s="282"/>
      <c r="E46" s="120">
        <f>TRUNC((1/12)*100,2)</f>
        <v>8.33</v>
      </c>
      <c r="F46" s="116">
        <f>TRUNC((F41*E46%),2)</f>
        <v>232.69</v>
      </c>
    </row>
    <row r="47" spans="1:6" x14ac:dyDescent="0.3">
      <c r="A47" s="117" t="s">
        <v>554</v>
      </c>
      <c r="B47" s="283" t="s">
        <v>573</v>
      </c>
      <c r="C47" s="283"/>
      <c r="D47" s="283"/>
      <c r="E47" s="121">
        <f>E46/3</f>
        <v>2.7766666666666668</v>
      </c>
      <c r="F47" s="118">
        <f>TRUNC((F41*E47%),2)</f>
        <v>77.56</v>
      </c>
    </row>
    <row r="48" spans="1:6" x14ac:dyDescent="0.3">
      <c r="A48" s="271" t="s">
        <v>574</v>
      </c>
      <c r="B48" s="271"/>
      <c r="C48" s="271"/>
      <c r="D48" s="271"/>
      <c r="E48" s="122">
        <f>SUM(E46:E47)</f>
        <v>11.106666666666667</v>
      </c>
      <c r="F48" s="119">
        <f>TRUNC((SUM(F46:F47)),2)</f>
        <v>310.25</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620.73</v>
      </c>
    </row>
    <row r="52" spans="1:6" x14ac:dyDescent="0.3">
      <c r="A52" s="117" t="s">
        <v>554</v>
      </c>
      <c r="B52" s="283" t="s">
        <v>579</v>
      </c>
      <c r="C52" s="283"/>
      <c r="D52" s="283"/>
      <c r="E52" s="124">
        <v>2.5000000000000001E-2</v>
      </c>
      <c r="F52" s="118">
        <f t="shared" si="0"/>
        <v>77.59</v>
      </c>
    </row>
    <row r="53" spans="1:6" x14ac:dyDescent="0.3">
      <c r="A53" s="125" t="s">
        <v>556</v>
      </c>
      <c r="B53" s="282" t="s">
        <v>580</v>
      </c>
      <c r="C53" s="282"/>
      <c r="D53" s="282"/>
      <c r="E53" s="207">
        <v>0.03</v>
      </c>
      <c r="F53" s="116">
        <f t="shared" si="0"/>
        <v>93.1</v>
      </c>
    </row>
    <row r="54" spans="1:6" x14ac:dyDescent="0.3">
      <c r="A54" s="117" t="s">
        <v>558</v>
      </c>
      <c r="B54" s="283" t="s">
        <v>581</v>
      </c>
      <c r="C54" s="283"/>
      <c r="D54" s="283"/>
      <c r="E54" s="124">
        <v>1.4999999999999999E-2</v>
      </c>
      <c r="F54" s="118">
        <f t="shared" si="0"/>
        <v>46.55</v>
      </c>
    </row>
    <row r="55" spans="1:6" x14ac:dyDescent="0.3">
      <c r="A55" s="115" t="s">
        <v>560</v>
      </c>
      <c r="B55" s="282" t="s">
        <v>582</v>
      </c>
      <c r="C55" s="282"/>
      <c r="D55" s="282"/>
      <c r="E55" s="123">
        <v>0.01</v>
      </c>
      <c r="F55" s="116">
        <f t="shared" si="0"/>
        <v>31.03</v>
      </c>
    </row>
    <row r="56" spans="1:6" x14ac:dyDescent="0.3">
      <c r="A56" s="117" t="s">
        <v>562</v>
      </c>
      <c r="B56" s="283" t="s">
        <v>583</v>
      </c>
      <c r="C56" s="283"/>
      <c r="D56" s="283"/>
      <c r="E56" s="124">
        <v>6.0000000000000001E-3</v>
      </c>
      <c r="F56" s="118">
        <f t="shared" si="0"/>
        <v>18.62</v>
      </c>
    </row>
    <row r="57" spans="1:6" x14ac:dyDescent="0.3">
      <c r="A57" s="115" t="s">
        <v>564</v>
      </c>
      <c r="B57" s="282" t="s">
        <v>584</v>
      </c>
      <c r="C57" s="282"/>
      <c r="D57" s="282"/>
      <c r="E57" s="123">
        <v>2E-3</v>
      </c>
      <c r="F57" s="116">
        <f t="shared" si="0"/>
        <v>6.2</v>
      </c>
    </row>
    <row r="58" spans="1:6" x14ac:dyDescent="0.3">
      <c r="A58" s="117" t="s">
        <v>585</v>
      </c>
      <c r="B58" s="283" t="s">
        <v>586</v>
      </c>
      <c r="C58" s="283"/>
      <c r="D58" s="283"/>
      <c r="E58" s="124">
        <v>0.08</v>
      </c>
      <c r="F58" s="118">
        <f t="shared" si="0"/>
        <v>248.29</v>
      </c>
    </row>
    <row r="59" spans="1:6" x14ac:dyDescent="0.3">
      <c r="A59" s="271" t="s">
        <v>587</v>
      </c>
      <c r="B59" s="271"/>
      <c r="C59" s="271"/>
      <c r="D59" s="271"/>
      <c r="E59" s="126">
        <f>SUM(E51:E58)</f>
        <v>0.36800000000000005</v>
      </c>
      <c r="F59" s="119">
        <f>TRUNC((SUM(F51:F58)),2)</f>
        <v>1142.1099999999999</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'Salários.VA.VT.QteDias.LDI.T'!B41</f>
        <v>15</v>
      </c>
      <c r="E63" s="113">
        <f>TRUNC(($F$34*6%),2)</f>
        <v>128.91999999999999</v>
      </c>
      <c r="F63" s="118">
        <f>TRUNC(IF(E63&gt;=135,0,((B63*C63*D63)-E63)),2)</f>
        <v>6.08</v>
      </c>
    </row>
    <row r="64" spans="1:6" x14ac:dyDescent="0.3">
      <c r="A64" s="286" t="s">
        <v>554</v>
      </c>
      <c r="B64" s="286" t="s">
        <v>595</v>
      </c>
      <c r="C64" s="286"/>
      <c r="D64" s="127" t="s">
        <v>593</v>
      </c>
      <c r="E64" s="127" t="s">
        <v>594</v>
      </c>
      <c r="F64" s="115" t="s">
        <v>551</v>
      </c>
    </row>
    <row r="65" spans="1:8" x14ac:dyDescent="0.3">
      <c r="A65" s="286"/>
      <c r="B65" s="287">
        <f>'Salários.VA.VT.QteDias.LDI.T'!B20</f>
        <v>25.5</v>
      </c>
      <c r="C65" s="287"/>
      <c r="D65" s="127">
        <f>'Salários.VA.VT.QteDias.LDI.T'!B41</f>
        <v>15</v>
      </c>
      <c r="E65" s="128">
        <f>TRUNC(0.1*(B65*D65),2)</f>
        <v>38.25</v>
      </c>
      <c r="F65" s="116">
        <f>TRUNC(((B65*D65)-E65),2)</f>
        <v>344.25</v>
      </c>
    </row>
    <row r="66" spans="1:8" x14ac:dyDescent="0.3">
      <c r="A66" s="272" t="s">
        <v>556</v>
      </c>
      <c r="B66" s="283" t="s">
        <v>596</v>
      </c>
      <c r="C66" s="283"/>
      <c r="D66" s="283"/>
      <c r="E66" s="283"/>
      <c r="F66" s="117" t="s">
        <v>551</v>
      </c>
    </row>
    <row r="67" spans="1:8" x14ac:dyDescent="0.3">
      <c r="A67" s="272"/>
      <c r="B67" s="283"/>
      <c r="C67" s="283"/>
      <c r="D67" s="283"/>
      <c r="E67" s="283"/>
      <c r="F67" s="205">
        <v>6</v>
      </c>
    </row>
    <row r="68" spans="1:8" x14ac:dyDescent="0.3">
      <c r="A68" s="286" t="s">
        <v>558</v>
      </c>
      <c r="B68" s="282" t="s">
        <v>597</v>
      </c>
      <c r="C68" s="282"/>
      <c r="D68" s="282"/>
      <c r="E68" s="282"/>
      <c r="F68" s="115" t="s">
        <v>551</v>
      </c>
    </row>
    <row r="69" spans="1:8" x14ac:dyDescent="0.3">
      <c r="A69" s="286"/>
      <c r="B69" s="282"/>
      <c r="C69" s="282"/>
      <c r="D69" s="282"/>
      <c r="E69" s="282"/>
      <c r="F69" s="206">
        <v>19.899999999999999</v>
      </c>
    </row>
    <row r="70" spans="1:8" x14ac:dyDescent="0.3">
      <c r="A70" s="272" t="s">
        <v>560</v>
      </c>
      <c r="B70" s="283" t="s">
        <v>565</v>
      </c>
      <c r="C70" s="283"/>
      <c r="D70" s="283"/>
      <c r="E70" s="283"/>
      <c r="F70" s="117" t="s">
        <v>551</v>
      </c>
    </row>
    <row r="71" spans="1:8" x14ac:dyDescent="0.3">
      <c r="A71" s="272"/>
      <c r="B71" s="283"/>
      <c r="C71" s="283"/>
      <c r="D71" s="283"/>
      <c r="E71" s="283"/>
      <c r="F71" s="205">
        <v>0</v>
      </c>
    </row>
    <row r="72" spans="1:8" x14ac:dyDescent="0.3">
      <c r="A72" s="271" t="s">
        <v>598</v>
      </c>
      <c r="B72" s="271"/>
      <c r="C72" s="271"/>
      <c r="D72" s="271"/>
      <c r="E72" s="271"/>
      <c r="F72" s="119">
        <f>TRUNC(SUM(F63,F65,F67,F69,F71),2)</f>
        <v>376.23</v>
      </c>
    </row>
    <row r="73" spans="1:8" x14ac:dyDescent="0.3">
      <c r="A73" s="253" t="s">
        <v>599</v>
      </c>
      <c r="B73" s="253"/>
      <c r="C73" s="253"/>
      <c r="D73" s="253"/>
      <c r="E73" s="253"/>
      <c r="F73" s="253"/>
    </row>
    <row r="74" spans="1:8" x14ac:dyDescent="0.3">
      <c r="A74" s="110" t="s">
        <v>600</v>
      </c>
      <c r="B74" s="288" t="s">
        <v>601</v>
      </c>
      <c r="C74" s="288"/>
      <c r="D74" s="288"/>
      <c r="E74" s="288"/>
      <c r="F74" s="110" t="s">
        <v>551</v>
      </c>
      <c r="H74" s="151"/>
    </row>
    <row r="75" spans="1:8" x14ac:dyDescent="0.3">
      <c r="A75" s="127" t="s">
        <v>569</v>
      </c>
      <c r="B75" s="289" t="s">
        <v>602</v>
      </c>
      <c r="C75" s="289"/>
      <c r="D75" s="289"/>
      <c r="E75" s="289"/>
      <c r="F75" s="128">
        <f>$F$48</f>
        <v>310.25</v>
      </c>
    </row>
    <row r="76" spans="1:8" x14ac:dyDescent="0.3">
      <c r="A76" s="110" t="s">
        <v>576</v>
      </c>
      <c r="B76" s="288" t="s">
        <v>603</v>
      </c>
      <c r="C76" s="288"/>
      <c r="D76" s="288"/>
      <c r="E76" s="288"/>
      <c r="F76" s="113">
        <f>$F$59</f>
        <v>1142.1099999999999</v>
      </c>
    </row>
    <row r="77" spans="1:8" x14ac:dyDescent="0.3">
      <c r="A77" s="127" t="s">
        <v>589</v>
      </c>
      <c r="B77" s="289" t="s">
        <v>590</v>
      </c>
      <c r="C77" s="289"/>
      <c r="D77" s="289"/>
      <c r="E77" s="289"/>
      <c r="F77" s="128">
        <f>$F$72</f>
        <v>376.23</v>
      </c>
    </row>
    <row r="78" spans="1:8" x14ac:dyDescent="0.3">
      <c r="A78" s="271" t="s">
        <v>604</v>
      </c>
      <c r="B78" s="271"/>
      <c r="C78" s="271"/>
      <c r="D78" s="271"/>
      <c r="E78" s="271"/>
      <c r="F78" s="119">
        <f>TRUNC(SUM(F75:F77),2)</f>
        <v>1828.59</v>
      </c>
    </row>
    <row r="79" spans="1:8" x14ac:dyDescent="0.3">
      <c r="A79" s="270"/>
      <c r="B79" s="270"/>
      <c r="C79" s="270"/>
      <c r="D79" s="270"/>
      <c r="E79" s="270"/>
      <c r="F79" s="270"/>
    </row>
    <row r="80" spans="1:8"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8.07</v>
      </c>
    </row>
    <row r="83" spans="1:6" x14ac:dyDescent="0.3">
      <c r="A83" s="117" t="s">
        <v>554</v>
      </c>
      <c r="B83" s="283" t="s">
        <v>608</v>
      </c>
      <c r="C83" s="283"/>
      <c r="D83" s="283"/>
      <c r="E83" s="208">
        <f>(8%*0.29%)</f>
        <v>2.32E-4</v>
      </c>
      <c r="F83" s="129">
        <f>TRUNC((($F$41+$F$48)*E83),2)</f>
        <v>0.72</v>
      </c>
    </row>
    <row r="84" spans="1:6" ht="16.5" customHeight="1" x14ac:dyDescent="0.3">
      <c r="A84" s="115" t="s">
        <v>556</v>
      </c>
      <c r="B84" s="290" t="s">
        <v>609</v>
      </c>
      <c r="C84" s="290"/>
      <c r="D84" s="290"/>
      <c r="E84" s="207">
        <f>(56.24%)*5.55%*40%*8%</f>
        <v>9.9882240000000004E-4</v>
      </c>
      <c r="F84" s="116">
        <f>TRUNC((($F$41+$F$48)*E84),2)</f>
        <v>3.1</v>
      </c>
    </row>
    <row r="85" spans="1:6" x14ac:dyDescent="0.3">
      <c r="A85" s="117" t="s">
        <v>558</v>
      </c>
      <c r="B85" s="283" t="s">
        <v>610</v>
      </c>
      <c r="C85" s="283"/>
      <c r="D85" s="283"/>
      <c r="E85" s="208">
        <f>((56.24%)*94.45%*(7/30)/12)</f>
        <v>1.0328632222222222E-2</v>
      </c>
      <c r="F85" s="129">
        <f>TRUNC((($F$41+$F$48)*E85),2)</f>
        <v>32.049999999999997</v>
      </c>
    </row>
    <row r="86" spans="1:6" x14ac:dyDescent="0.3">
      <c r="A86" s="116" t="s">
        <v>560</v>
      </c>
      <c r="B86" s="291" t="s">
        <v>611</v>
      </c>
      <c r="C86" s="291"/>
      <c r="D86" s="291"/>
      <c r="E86" s="207">
        <f>1.03%*36.8%</f>
        <v>3.7904000000000002E-3</v>
      </c>
      <c r="F86" s="116">
        <f>TRUNC((($F$41+$F$48)*E86),2)</f>
        <v>11.76</v>
      </c>
    </row>
    <row r="87" spans="1:6" x14ac:dyDescent="0.3">
      <c r="A87" s="117" t="s">
        <v>562</v>
      </c>
      <c r="B87" s="283" t="s">
        <v>612</v>
      </c>
      <c r="C87" s="283"/>
      <c r="D87" s="283"/>
      <c r="E87" s="208">
        <f>(56.24%)*94.45%*40%*8%</f>
        <v>1.6997977600000002E-2</v>
      </c>
      <c r="F87" s="129">
        <f>TRUNC((($F$41+F48)*E87),2)</f>
        <v>52.75</v>
      </c>
    </row>
    <row r="88" spans="1:6" x14ac:dyDescent="0.3">
      <c r="A88" s="271" t="s">
        <v>613</v>
      </c>
      <c r="B88" s="271"/>
      <c r="C88" s="271"/>
      <c r="D88" s="271"/>
      <c r="E88" s="126">
        <f>SUM(E82:E87)</f>
        <v>3.4948932222222229E-2</v>
      </c>
      <c r="F88" s="119">
        <f>TRUNC(SUM(F82:F87),2)</f>
        <v>108.45</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30">
        <f t="shared" ref="F93:F98" si="1">TRUNC((($F$41+$F$78)*E93),2)</f>
        <v>0</v>
      </c>
    </row>
    <row r="94" spans="1:6" x14ac:dyDescent="0.3">
      <c r="A94" s="117" t="s">
        <v>554</v>
      </c>
      <c r="B94" s="283" t="s">
        <v>619</v>
      </c>
      <c r="C94" s="283"/>
      <c r="D94" s="283"/>
      <c r="E94" s="208">
        <f>(8/30)/12</f>
        <v>2.2222222222222223E-2</v>
      </c>
      <c r="F94" s="129">
        <f t="shared" si="1"/>
        <v>102.71</v>
      </c>
    </row>
    <row r="95" spans="1:6" x14ac:dyDescent="0.3">
      <c r="A95" s="115" t="s">
        <v>556</v>
      </c>
      <c r="B95" s="282" t="s">
        <v>620</v>
      </c>
      <c r="C95" s="282"/>
      <c r="D95" s="282"/>
      <c r="E95" s="207">
        <f>(((20/30)/12)*1.416%*45.22%)</f>
        <v>3.557306666666666E-4</v>
      </c>
      <c r="F95" s="130">
        <f t="shared" si="1"/>
        <v>1.64</v>
      </c>
    </row>
    <row r="96" spans="1:6" x14ac:dyDescent="0.3">
      <c r="A96" s="117" t="s">
        <v>558</v>
      </c>
      <c r="B96" s="283" t="s">
        <v>621</v>
      </c>
      <c r="C96" s="283"/>
      <c r="D96" s="283"/>
      <c r="E96" s="208">
        <f>((15/30)/12)*0.44%</f>
        <v>1.8333333333333334E-4</v>
      </c>
      <c r="F96" s="129">
        <f t="shared" si="1"/>
        <v>0.84</v>
      </c>
    </row>
    <row r="97" spans="1:6" x14ac:dyDescent="0.3">
      <c r="A97" s="115" t="s">
        <v>560</v>
      </c>
      <c r="B97" s="282" t="s">
        <v>622</v>
      </c>
      <c r="C97" s="282"/>
      <c r="D97" s="282"/>
      <c r="E97" s="207">
        <f>(((180/30)/12*1.416%*54.78%*36.8%))</f>
        <v>1.4272600319999999E-3</v>
      </c>
      <c r="F97" s="130">
        <f t="shared" si="1"/>
        <v>6.59</v>
      </c>
    </row>
    <row r="98" spans="1:6" x14ac:dyDescent="0.3">
      <c r="A98" s="117" t="s">
        <v>562</v>
      </c>
      <c r="B98" s="283" t="s">
        <v>623</v>
      </c>
      <c r="C98" s="283"/>
      <c r="D98" s="283"/>
      <c r="E98" s="208">
        <v>0</v>
      </c>
      <c r="F98" s="129">
        <f t="shared" si="1"/>
        <v>0</v>
      </c>
    </row>
    <row r="99" spans="1:6" x14ac:dyDescent="0.3">
      <c r="A99" s="271" t="s">
        <v>624</v>
      </c>
      <c r="B99" s="271"/>
      <c r="C99" s="271"/>
      <c r="D99" s="271"/>
      <c r="E99" s="126">
        <f>SUM(E93:E98)</f>
        <v>2.4188546254222225E-2</v>
      </c>
      <c r="F99" s="119">
        <f>TRUNC(SUM(F93:F98),2)</f>
        <v>111.78</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58" t="s">
        <v>552</v>
      </c>
      <c r="B102" s="307" t="s">
        <v>628</v>
      </c>
      <c r="C102" s="307"/>
      <c r="D102" s="307"/>
      <c r="E102" s="159" t="s">
        <v>629</v>
      </c>
      <c r="F102" s="160">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111.78</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111.78</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Unif!I143</f>
        <v>231.39</v>
      </c>
    </row>
    <row r="112" spans="1:6" x14ac:dyDescent="0.3">
      <c r="A112" s="110" t="s">
        <v>554</v>
      </c>
      <c r="B112" s="285" t="s">
        <v>636</v>
      </c>
      <c r="C112" s="285"/>
      <c r="D112" s="285"/>
      <c r="E112" s="285"/>
      <c r="F112" s="113">
        <f>MB!E21</f>
        <v>87.07</v>
      </c>
    </row>
    <row r="113" spans="1:6" x14ac:dyDescent="0.3">
      <c r="A113" s="127" t="s">
        <v>556</v>
      </c>
      <c r="B113" s="293" t="s">
        <v>673</v>
      </c>
      <c r="C113" s="293"/>
      <c r="D113" s="293"/>
      <c r="E113" s="293"/>
      <c r="F113" s="128">
        <f>MP!P66</f>
        <v>3679.86</v>
      </c>
    </row>
    <row r="114" spans="1:6" x14ac:dyDescent="0.3">
      <c r="A114" s="110" t="s">
        <v>558</v>
      </c>
      <c r="B114" s="285" t="s">
        <v>638</v>
      </c>
      <c r="C114" s="285"/>
      <c r="D114" s="285"/>
      <c r="E114" s="285"/>
      <c r="F114" s="113">
        <f>'EPI´s - BC'!E13</f>
        <v>49.19</v>
      </c>
    </row>
    <row r="115" spans="1:6" x14ac:dyDescent="0.3">
      <c r="A115" s="271" t="s">
        <v>639</v>
      </c>
      <c r="B115" s="271"/>
      <c r="C115" s="271"/>
      <c r="D115" s="271"/>
      <c r="E115" s="271"/>
      <c r="F115" s="119">
        <f>TRUNC(SUM(F111:F114),2)</f>
        <v>4047.51</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62" t="s">
        <v>551</v>
      </c>
    </row>
    <row r="119" spans="1:6" x14ac:dyDescent="0.3">
      <c r="A119" s="127" t="s">
        <v>552</v>
      </c>
      <c r="B119" s="293" t="s">
        <v>642</v>
      </c>
      <c r="C119" s="293"/>
      <c r="D119" s="293"/>
      <c r="E119" s="154">
        <f>'Salários.VA.VT.QteDias.LDI.T'!$G$46</f>
        <v>4.7300000000000002E-2</v>
      </c>
      <c r="F119" s="116">
        <f>TRUNC(($F$134*$E$119),2)</f>
        <v>420.48</v>
      </c>
    </row>
    <row r="120" spans="1:6" x14ac:dyDescent="0.3">
      <c r="A120" s="110" t="s">
        <v>554</v>
      </c>
      <c r="B120" s="285" t="s">
        <v>643</v>
      </c>
      <c r="C120" s="285"/>
      <c r="D120" s="285"/>
      <c r="E120" s="133">
        <f>'Salários.VA.VT.QteDias.LDI.T'!$G$47</f>
        <v>5.57E-2</v>
      </c>
      <c r="F120" s="118">
        <f>TRUNC((($F$134+$F$119)*E120),2)</f>
        <v>518.57000000000005</v>
      </c>
    </row>
    <row r="121" spans="1:6" x14ac:dyDescent="0.3">
      <c r="A121" s="274" t="s">
        <v>644</v>
      </c>
      <c r="B121" s="274"/>
      <c r="C121" s="274"/>
      <c r="D121" s="274"/>
      <c r="E121" s="71" t="s">
        <v>571</v>
      </c>
      <c r="F121" s="163" t="s">
        <v>551</v>
      </c>
    </row>
    <row r="122" spans="1:6" x14ac:dyDescent="0.3">
      <c r="A122" s="110" t="s">
        <v>552</v>
      </c>
      <c r="B122" s="285" t="s">
        <v>93</v>
      </c>
      <c r="C122" s="285"/>
      <c r="D122" s="285"/>
      <c r="E122" s="209">
        <v>6.4999999999999997E-3</v>
      </c>
      <c r="F122" s="118">
        <f>TRUNC(((($F$134+$F$119+$F$120)/0.9135)*E122),2)</f>
        <v>69.930000000000007</v>
      </c>
    </row>
    <row r="123" spans="1:6" x14ac:dyDescent="0.3">
      <c r="A123" s="68" t="s">
        <v>554</v>
      </c>
      <c r="B123" s="294" t="s">
        <v>645</v>
      </c>
      <c r="C123" s="294"/>
      <c r="D123" s="294"/>
      <c r="E123" s="210">
        <v>0.03</v>
      </c>
      <c r="F123" s="135">
        <f>TRUNC(((($F$134+$F$119+$F$120)/0.9135)*E123),2)</f>
        <v>322.77999999999997</v>
      </c>
    </row>
    <row r="124" spans="1:6" x14ac:dyDescent="0.3">
      <c r="A124" s="110" t="s">
        <v>556</v>
      </c>
      <c r="B124" s="285" t="s">
        <v>95</v>
      </c>
      <c r="C124" s="285"/>
      <c r="D124" s="285"/>
      <c r="E124" s="209">
        <v>0.05</v>
      </c>
      <c r="F124" s="118">
        <f>TRUNC(((($F$134+$F$119+$F$120)/0.9135)*E124),2)</f>
        <v>537.97</v>
      </c>
    </row>
    <row r="125" spans="1:6" x14ac:dyDescent="0.3">
      <c r="A125" s="271" t="s">
        <v>646</v>
      </c>
      <c r="B125" s="271"/>
      <c r="C125" s="271"/>
      <c r="D125" s="271"/>
      <c r="E125" s="126">
        <f>SUM(E122:E124)</f>
        <v>8.6499999999999994E-2</v>
      </c>
      <c r="F125" s="119">
        <f>TRUNC(SUM($F$119,$F$120,$F$122,$F$123,$F$124),2)</f>
        <v>1869.73</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8" x14ac:dyDescent="0.3">
      <c r="A129" s="110" t="s">
        <v>552</v>
      </c>
      <c r="B129" s="285" t="s">
        <v>649</v>
      </c>
      <c r="C129" s="285"/>
      <c r="D129" s="285"/>
      <c r="E129" s="285"/>
      <c r="F129" s="113">
        <f>$F$41</f>
        <v>2793.41</v>
      </c>
    </row>
    <row r="130" spans="1:8" x14ac:dyDescent="0.3">
      <c r="A130" s="127" t="s">
        <v>554</v>
      </c>
      <c r="B130" s="293" t="s">
        <v>650</v>
      </c>
      <c r="C130" s="293"/>
      <c r="D130" s="293"/>
      <c r="E130" s="293"/>
      <c r="F130" s="128">
        <f>$F$78</f>
        <v>1828.59</v>
      </c>
    </row>
    <row r="131" spans="1:8" x14ac:dyDescent="0.3">
      <c r="A131" s="110" t="s">
        <v>556</v>
      </c>
      <c r="B131" s="285" t="s">
        <v>651</v>
      </c>
      <c r="C131" s="285"/>
      <c r="D131" s="285"/>
      <c r="E131" s="285"/>
      <c r="F131" s="113">
        <f>$F$88</f>
        <v>108.45</v>
      </c>
    </row>
    <row r="132" spans="1:8" x14ac:dyDescent="0.3">
      <c r="A132" s="127" t="s">
        <v>558</v>
      </c>
      <c r="B132" s="293" t="s">
        <v>652</v>
      </c>
      <c r="C132" s="293"/>
      <c r="D132" s="293"/>
      <c r="E132" s="293"/>
      <c r="F132" s="128">
        <f>$F$107</f>
        <v>111.78</v>
      </c>
    </row>
    <row r="133" spans="1:8" x14ac:dyDescent="0.3">
      <c r="A133" s="110" t="s">
        <v>560</v>
      </c>
      <c r="B133" s="285" t="s">
        <v>653</v>
      </c>
      <c r="C133" s="285"/>
      <c r="D133" s="285"/>
      <c r="E133" s="285"/>
      <c r="F133" s="113">
        <f>$F$115</f>
        <v>4047.51</v>
      </c>
    </row>
    <row r="134" spans="1:8" x14ac:dyDescent="0.3">
      <c r="A134" s="286" t="s">
        <v>654</v>
      </c>
      <c r="B134" s="286"/>
      <c r="C134" s="286"/>
      <c r="D134" s="286"/>
      <c r="E134" s="286"/>
      <c r="F134" s="128">
        <f>TRUNC(SUM(F129:F133),2)</f>
        <v>8889.74</v>
      </c>
    </row>
    <row r="135" spans="1:8" x14ac:dyDescent="0.3">
      <c r="A135" s="110" t="s">
        <v>562</v>
      </c>
      <c r="B135" s="281" t="s">
        <v>655</v>
      </c>
      <c r="C135" s="281"/>
      <c r="D135" s="281"/>
      <c r="E135" s="281"/>
      <c r="F135" s="113">
        <f>TRUNC(($F$125),2)</f>
        <v>1869.73</v>
      </c>
    </row>
    <row r="136" spans="1:8" ht="16.5" customHeight="1" x14ac:dyDescent="0.3">
      <c r="A136" s="286" t="s">
        <v>656</v>
      </c>
      <c r="B136" s="286"/>
      <c r="C136" s="286"/>
      <c r="D136" s="286"/>
      <c r="E136" s="286"/>
      <c r="F136" s="128">
        <f>TRUNC(($F$134 + $F$135),2)</f>
        <v>10759.47</v>
      </c>
    </row>
    <row r="137" spans="1:8" ht="16.5" customHeight="1" x14ac:dyDescent="0.3">
      <c r="A137" s="270"/>
      <c r="B137" s="270"/>
      <c r="C137" s="270"/>
      <c r="D137" s="270"/>
      <c r="E137" s="270"/>
      <c r="F137" s="270"/>
      <c r="H137" s="151"/>
    </row>
    <row r="138" spans="1:8" ht="16.5" customHeight="1" x14ac:dyDescent="0.3">
      <c r="A138" s="223" t="s">
        <v>657</v>
      </c>
      <c r="B138" s="223"/>
      <c r="C138" s="223"/>
      <c r="D138" s="223"/>
      <c r="E138" s="223"/>
      <c r="F138" s="223"/>
    </row>
    <row r="139" spans="1:8" ht="20.399999999999999" x14ac:dyDescent="0.3">
      <c r="A139" s="136" t="s">
        <v>658</v>
      </c>
      <c r="B139" s="111" t="s">
        <v>659</v>
      </c>
      <c r="C139" s="111" t="s">
        <v>321</v>
      </c>
      <c r="D139" s="111" t="s">
        <v>661</v>
      </c>
      <c r="E139" s="111" t="s">
        <v>662</v>
      </c>
      <c r="F139" s="111" t="s">
        <v>112</v>
      </c>
    </row>
    <row r="140" spans="1:8" ht="20.399999999999999" x14ac:dyDescent="0.3">
      <c r="A140" s="137" t="str">
        <f>$C$26</f>
        <v>Bombeiro Civil Diurno</v>
      </c>
      <c r="B140" s="138">
        <f>$F$136</f>
        <v>10759.47</v>
      </c>
      <c r="C140" s="137">
        <f>$C$22</f>
        <v>2</v>
      </c>
      <c r="D140" s="137">
        <f>$C$18</f>
        <v>12</v>
      </c>
      <c r="E140" s="138">
        <f>TRUNC(($B$140 * $C$140),2)</f>
        <v>21518.94</v>
      </c>
      <c r="F140" s="138">
        <f>TRUNC(($D$140 * $E$140),2)</f>
        <v>258227.28</v>
      </c>
    </row>
    <row r="141" spans="1:8" x14ac:dyDescent="0.3">
      <c r="A141" s="165"/>
      <c r="B141" s="165"/>
      <c r="C141" s="165"/>
      <c r="D141" s="165"/>
      <c r="E141" s="165"/>
      <c r="F141" s="165"/>
    </row>
    <row r="142" spans="1:8" x14ac:dyDescent="0.3">
      <c r="A142" s="165"/>
      <c r="B142" s="165"/>
      <c r="C142" s="165"/>
      <c r="D142" s="165"/>
      <c r="E142" s="165"/>
      <c r="F142" s="165"/>
    </row>
  </sheetData>
  <sheetProtection sheet="1" objects="1" scenarios="1"/>
  <protectedRanges>
    <protectedRange sqref="E122:E124" name="Intervalo6"/>
    <protectedRange sqref="E82:E87" name="Intervalo4"/>
    <protectedRange sqref="F35:F4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700-000000000000}"/>
    <hyperlink ref="C27" r:id="rId2" xr:uid="{00000000-0004-0000-1700-000001000000}"/>
  </hyperlinks>
  <pageMargins left="0.7" right="0.7" top="0.75" bottom="0.75" header="0.511811023622047" footer="0.511811023622047"/>
  <pageSetup paperSize="9" orientation="portrait" horizontalDpi="300" verticalDpi="300"/>
  <drawing r:id="rId3"/>
  <legacyDrawing r:id="rId4"/>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142"/>
  <sheetViews>
    <sheetView zoomScale="140" zoomScaleNormal="14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522</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9" x14ac:dyDescent="0.3">
      <c r="A17" s="226"/>
      <c r="B17" s="226"/>
      <c r="C17" s="277" t="s">
        <v>533</v>
      </c>
      <c r="D17" s="277"/>
      <c r="E17" s="277"/>
      <c r="F17" s="277"/>
    </row>
    <row r="18" spans="1:9" x14ac:dyDescent="0.3">
      <c r="A18" s="274" t="s">
        <v>534</v>
      </c>
      <c r="B18" s="274"/>
      <c r="C18" s="274">
        <v>12</v>
      </c>
      <c r="D18" s="274"/>
      <c r="E18" s="274"/>
      <c r="F18" s="274"/>
    </row>
    <row r="19" spans="1:9" x14ac:dyDescent="0.3">
      <c r="A19" s="270"/>
      <c r="B19" s="270"/>
      <c r="C19" s="270"/>
      <c r="D19" s="270"/>
      <c r="E19" s="270"/>
      <c r="F19" s="270"/>
    </row>
    <row r="20" spans="1:9" x14ac:dyDescent="0.3">
      <c r="A20" s="271" t="s">
        <v>535</v>
      </c>
      <c r="B20" s="271"/>
      <c r="C20" s="271"/>
      <c r="D20" s="271"/>
      <c r="E20" s="271"/>
      <c r="F20" s="271"/>
    </row>
    <row r="21" spans="1:9" x14ac:dyDescent="0.3">
      <c r="A21" s="272" t="s">
        <v>536</v>
      </c>
      <c r="B21" s="272"/>
      <c r="C21" s="272" t="s">
        <v>537</v>
      </c>
      <c r="D21" s="272"/>
      <c r="E21" s="272"/>
      <c r="F21" s="272"/>
    </row>
    <row r="22" spans="1:9" ht="27" customHeight="1" x14ac:dyDescent="0.3">
      <c r="A22" s="227" t="s">
        <v>538</v>
      </c>
      <c r="B22" s="227"/>
      <c r="C22" s="274">
        <v>5</v>
      </c>
      <c r="D22" s="274"/>
      <c r="E22" s="274"/>
      <c r="F22" s="274"/>
    </row>
    <row r="23" spans="1:9" x14ac:dyDescent="0.3">
      <c r="A23" s="270"/>
      <c r="B23" s="270"/>
      <c r="C23" s="270"/>
      <c r="D23" s="270"/>
      <c r="E23" s="270"/>
      <c r="F23" s="270"/>
    </row>
    <row r="24" spans="1:9" x14ac:dyDescent="0.3">
      <c r="A24" s="271" t="s">
        <v>539</v>
      </c>
      <c r="B24" s="271"/>
      <c r="C24" s="271"/>
      <c r="D24" s="271"/>
      <c r="E24" s="271"/>
      <c r="F24" s="271"/>
    </row>
    <row r="25" spans="1:9" x14ac:dyDescent="0.3">
      <c r="A25" s="274" t="s">
        <v>540</v>
      </c>
      <c r="B25" s="274"/>
      <c r="C25" s="274"/>
      <c r="D25" s="274"/>
      <c r="E25" s="274"/>
      <c r="F25" s="274"/>
    </row>
    <row r="26" spans="1:9" ht="21" customHeight="1" x14ac:dyDescent="0.3">
      <c r="A26" s="226" t="s">
        <v>541</v>
      </c>
      <c r="B26" s="226"/>
      <c r="C26" s="272" t="s">
        <v>674</v>
      </c>
      <c r="D26" s="272"/>
      <c r="E26" s="272"/>
      <c r="F26" s="272"/>
    </row>
    <row r="27" spans="1:9" x14ac:dyDescent="0.3">
      <c r="A27" s="274" t="s">
        <v>542</v>
      </c>
      <c r="B27" s="274"/>
      <c r="C27" s="303" t="s">
        <v>675</v>
      </c>
      <c r="D27" s="303"/>
      <c r="E27" s="303"/>
      <c r="F27" s="303"/>
    </row>
    <row r="28" spans="1:9" x14ac:dyDescent="0.3">
      <c r="A28" s="272" t="s">
        <v>544</v>
      </c>
      <c r="B28" s="272"/>
      <c r="C28" s="279">
        <f>'Salários.VA.VT.QteDias.LDI.T'!K3</f>
        <v>1586.86</v>
      </c>
      <c r="D28" s="279"/>
      <c r="E28" s="279"/>
      <c r="F28" s="279"/>
    </row>
    <row r="29" spans="1:9" ht="24.75" customHeight="1" x14ac:dyDescent="0.3">
      <c r="A29" s="227" t="s">
        <v>545</v>
      </c>
      <c r="B29" s="227"/>
      <c r="C29" s="274" t="s">
        <v>546</v>
      </c>
      <c r="D29" s="274"/>
      <c r="E29" s="274"/>
      <c r="F29" s="274"/>
      <c r="I29" s="140"/>
    </row>
    <row r="30" spans="1:9" x14ac:dyDescent="0.3">
      <c r="A30" s="272" t="s">
        <v>547</v>
      </c>
      <c r="B30" s="272"/>
      <c r="C30" s="276" t="s">
        <v>548</v>
      </c>
      <c r="D30" s="276"/>
      <c r="E30" s="276"/>
      <c r="F30" s="276"/>
    </row>
    <row r="31" spans="1:9" x14ac:dyDescent="0.3">
      <c r="A31" s="280" t="s">
        <v>549</v>
      </c>
      <c r="B31" s="280"/>
      <c r="C31" s="280"/>
      <c r="D31" s="280"/>
      <c r="E31" s="280"/>
      <c r="F31" s="280"/>
    </row>
    <row r="32" spans="1:9"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1586.86</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v>0</v>
      </c>
    </row>
    <row r="41" spans="1:6" x14ac:dyDescent="0.3">
      <c r="A41" s="271" t="s">
        <v>566</v>
      </c>
      <c r="B41" s="271"/>
      <c r="C41" s="271"/>
      <c r="D41" s="271"/>
      <c r="E41" s="271"/>
      <c r="F41" s="119">
        <f>TRUNC(SUM(F34:F40),2)</f>
        <v>1586.86</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568</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82" t="s">
        <v>572</v>
      </c>
      <c r="C46" s="282"/>
      <c r="D46" s="282"/>
      <c r="E46" s="120">
        <f>TRUNC((100/12),2)</f>
        <v>8.33</v>
      </c>
      <c r="F46" s="116">
        <f>TRUNC((F41*E46%),2)</f>
        <v>132.18</v>
      </c>
    </row>
    <row r="47" spans="1:6" x14ac:dyDescent="0.3">
      <c r="A47" s="117" t="s">
        <v>554</v>
      </c>
      <c r="B47" s="283" t="s">
        <v>573</v>
      </c>
      <c r="C47" s="283"/>
      <c r="D47" s="283"/>
      <c r="E47" s="121">
        <f>E46/3</f>
        <v>2.7766666666666668</v>
      </c>
      <c r="F47" s="118">
        <f>TRUNC((F41*E47%),2)</f>
        <v>44.06</v>
      </c>
    </row>
    <row r="48" spans="1:6" x14ac:dyDescent="0.3">
      <c r="A48" s="271" t="s">
        <v>574</v>
      </c>
      <c r="B48" s="271"/>
      <c r="C48" s="271"/>
      <c r="D48" s="271"/>
      <c r="E48" s="122">
        <f>SUM(E46:E47)</f>
        <v>11.106666666666667</v>
      </c>
      <c r="F48" s="119">
        <f>TRUNC((SUM(F46:F47)),2)</f>
        <v>176.24</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352.62</v>
      </c>
    </row>
    <row r="52" spans="1:6" x14ac:dyDescent="0.3">
      <c r="A52" s="117" t="s">
        <v>554</v>
      </c>
      <c r="B52" s="283" t="s">
        <v>579</v>
      </c>
      <c r="C52" s="283"/>
      <c r="D52" s="283"/>
      <c r="E52" s="124">
        <v>2.5000000000000001E-2</v>
      </c>
      <c r="F52" s="118">
        <f t="shared" si="0"/>
        <v>44.07</v>
      </c>
    </row>
    <row r="53" spans="1:6" x14ac:dyDescent="0.3">
      <c r="A53" s="125" t="s">
        <v>556</v>
      </c>
      <c r="B53" s="282" t="s">
        <v>580</v>
      </c>
      <c r="C53" s="282"/>
      <c r="D53" s="282"/>
      <c r="E53" s="207">
        <v>0.03</v>
      </c>
      <c r="F53" s="116">
        <f t="shared" si="0"/>
        <v>52.89</v>
      </c>
    </row>
    <row r="54" spans="1:6" x14ac:dyDescent="0.3">
      <c r="A54" s="117" t="s">
        <v>558</v>
      </c>
      <c r="B54" s="283" t="s">
        <v>581</v>
      </c>
      <c r="C54" s="283"/>
      <c r="D54" s="283"/>
      <c r="E54" s="124">
        <v>1.4999999999999999E-2</v>
      </c>
      <c r="F54" s="118">
        <f t="shared" si="0"/>
        <v>26.44</v>
      </c>
    </row>
    <row r="55" spans="1:6" x14ac:dyDescent="0.3">
      <c r="A55" s="115" t="s">
        <v>560</v>
      </c>
      <c r="B55" s="282" t="s">
        <v>582</v>
      </c>
      <c r="C55" s="282"/>
      <c r="D55" s="282"/>
      <c r="E55" s="123">
        <v>0.01</v>
      </c>
      <c r="F55" s="116">
        <f t="shared" si="0"/>
        <v>17.63</v>
      </c>
    </row>
    <row r="56" spans="1:6" x14ac:dyDescent="0.3">
      <c r="A56" s="117" t="s">
        <v>562</v>
      </c>
      <c r="B56" s="283" t="s">
        <v>583</v>
      </c>
      <c r="C56" s="283"/>
      <c r="D56" s="283"/>
      <c r="E56" s="124">
        <v>6.0000000000000001E-3</v>
      </c>
      <c r="F56" s="118">
        <f t="shared" si="0"/>
        <v>10.57</v>
      </c>
    </row>
    <row r="57" spans="1:6" x14ac:dyDescent="0.3">
      <c r="A57" s="115" t="s">
        <v>564</v>
      </c>
      <c r="B57" s="282" t="s">
        <v>584</v>
      </c>
      <c r="C57" s="282"/>
      <c r="D57" s="282"/>
      <c r="E57" s="123">
        <v>2E-3</v>
      </c>
      <c r="F57" s="116">
        <f t="shared" si="0"/>
        <v>3.52</v>
      </c>
    </row>
    <row r="58" spans="1:6" x14ac:dyDescent="0.3">
      <c r="A58" s="117" t="s">
        <v>585</v>
      </c>
      <c r="B58" s="283" t="s">
        <v>586</v>
      </c>
      <c r="C58" s="283"/>
      <c r="D58" s="283"/>
      <c r="E58" s="124">
        <v>0.08</v>
      </c>
      <c r="F58" s="118">
        <f t="shared" si="0"/>
        <v>141.04</v>
      </c>
    </row>
    <row r="59" spans="1:6" x14ac:dyDescent="0.3">
      <c r="A59" s="271" t="s">
        <v>587</v>
      </c>
      <c r="B59" s="271"/>
      <c r="C59" s="271"/>
      <c r="D59" s="271"/>
      <c r="E59" s="126">
        <f>SUM(E51:E58)</f>
        <v>0.36800000000000005</v>
      </c>
      <c r="F59" s="119">
        <f>TRUNC((SUM(F51:F58)),2)</f>
        <v>648.78</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'Salários.VA.VT.QteDias.LDI.T'!E41</f>
        <v>21</v>
      </c>
      <c r="E63" s="113">
        <f>TRUNC(($F$34*6%),2)</f>
        <v>95.21</v>
      </c>
      <c r="F63" s="118">
        <f>TRUNC(IF(E63&gt;=189,0,((B63*C63*D63)-E63)),2)</f>
        <v>93.79</v>
      </c>
    </row>
    <row r="64" spans="1:6" x14ac:dyDescent="0.3">
      <c r="A64" s="286" t="s">
        <v>554</v>
      </c>
      <c r="B64" s="286" t="s">
        <v>595</v>
      </c>
      <c r="C64" s="286"/>
      <c r="D64" s="127" t="s">
        <v>593</v>
      </c>
      <c r="E64" s="127" t="s">
        <v>594</v>
      </c>
      <c r="F64" s="115" t="s">
        <v>551</v>
      </c>
    </row>
    <row r="65" spans="1:6" x14ac:dyDescent="0.3">
      <c r="A65" s="286"/>
      <c r="B65" s="287">
        <f>'Salários.VA.VT.QteDias.LDI.T'!E20</f>
        <v>26.7</v>
      </c>
      <c r="C65" s="287"/>
      <c r="D65" s="127">
        <f>'Salários.VA.VT.QteDias.LDI.T'!E41</f>
        <v>21</v>
      </c>
      <c r="E65" s="128">
        <f>TRUNC(0.1*(B65*D65),2)</f>
        <v>56.07</v>
      </c>
      <c r="F65" s="116">
        <f>TRUNC(((B65*D65)-E65),2)</f>
        <v>504.63</v>
      </c>
    </row>
    <row r="66" spans="1:6" x14ac:dyDescent="0.3">
      <c r="A66" s="272" t="s">
        <v>556</v>
      </c>
      <c r="B66" s="283" t="s">
        <v>596</v>
      </c>
      <c r="C66" s="283"/>
      <c r="D66" s="283"/>
      <c r="E66" s="283"/>
      <c r="F66" s="117" t="s">
        <v>551</v>
      </c>
    </row>
    <row r="67" spans="1:6" x14ac:dyDescent="0.3">
      <c r="A67" s="272"/>
      <c r="B67" s="283"/>
      <c r="C67" s="283"/>
      <c r="D67" s="283"/>
      <c r="E67" s="283"/>
      <c r="F67" s="205">
        <v>6</v>
      </c>
    </row>
    <row r="68" spans="1:6" x14ac:dyDescent="0.3">
      <c r="A68" s="286" t="s">
        <v>558</v>
      </c>
      <c r="B68" s="282" t="s">
        <v>597</v>
      </c>
      <c r="C68" s="282"/>
      <c r="D68" s="282"/>
      <c r="E68" s="282"/>
      <c r="F68" s="115" t="s">
        <v>551</v>
      </c>
    </row>
    <row r="69" spans="1:6" x14ac:dyDescent="0.3">
      <c r="A69" s="286"/>
      <c r="B69" s="282"/>
      <c r="C69" s="282"/>
      <c r="D69" s="282"/>
      <c r="E69" s="282"/>
      <c r="F69" s="206">
        <v>19.899999999999999</v>
      </c>
    </row>
    <row r="70" spans="1:6" x14ac:dyDescent="0.3">
      <c r="A70" s="272" t="s">
        <v>560</v>
      </c>
      <c r="B70" s="283" t="s">
        <v>565</v>
      </c>
      <c r="C70" s="283"/>
      <c r="D70" s="283"/>
      <c r="E70" s="283"/>
      <c r="F70" s="117" t="s">
        <v>551</v>
      </c>
    </row>
    <row r="71" spans="1:6" x14ac:dyDescent="0.3">
      <c r="A71" s="272"/>
      <c r="B71" s="283"/>
      <c r="C71" s="283"/>
      <c r="D71" s="283"/>
      <c r="E71" s="283"/>
      <c r="F71" s="205">
        <v>0</v>
      </c>
    </row>
    <row r="72" spans="1:6" x14ac:dyDescent="0.3">
      <c r="A72" s="271" t="s">
        <v>598</v>
      </c>
      <c r="B72" s="271"/>
      <c r="C72" s="271"/>
      <c r="D72" s="271"/>
      <c r="E72" s="271"/>
      <c r="F72" s="119">
        <f>TRUNC(SUM(F63,F65,F67,F69,F71),2)</f>
        <v>624.32000000000005</v>
      </c>
    </row>
    <row r="73" spans="1:6" x14ac:dyDescent="0.3">
      <c r="A73" s="253" t="s">
        <v>599</v>
      </c>
      <c r="B73" s="253"/>
      <c r="C73" s="253"/>
      <c r="D73" s="253"/>
      <c r="E73" s="253"/>
      <c r="F73" s="253"/>
    </row>
    <row r="74" spans="1:6" x14ac:dyDescent="0.3">
      <c r="A74" s="110" t="s">
        <v>600</v>
      </c>
      <c r="B74" s="288" t="s">
        <v>601</v>
      </c>
      <c r="C74" s="288"/>
      <c r="D74" s="288"/>
      <c r="E74" s="288"/>
      <c r="F74" s="110" t="s">
        <v>551</v>
      </c>
    </row>
    <row r="75" spans="1:6" x14ac:dyDescent="0.3">
      <c r="A75" s="127" t="s">
        <v>569</v>
      </c>
      <c r="B75" s="289" t="s">
        <v>602</v>
      </c>
      <c r="C75" s="289"/>
      <c r="D75" s="289"/>
      <c r="E75" s="289"/>
      <c r="F75" s="128">
        <f>$F$48</f>
        <v>176.24</v>
      </c>
    </row>
    <row r="76" spans="1:6" x14ac:dyDescent="0.3">
      <c r="A76" s="110" t="s">
        <v>576</v>
      </c>
      <c r="B76" s="288" t="s">
        <v>603</v>
      </c>
      <c r="C76" s="288"/>
      <c r="D76" s="288"/>
      <c r="E76" s="288"/>
      <c r="F76" s="113">
        <f>$F$59</f>
        <v>648.78</v>
      </c>
    </row>
    <row r="77" spans="1:6" x14ac:dyDescent="0.3">
      <c r="A77" s="127" t="s">
        <v>589</v>
      </c>
      <c r="B77" s="289" t="s">
        <v>590</v>
      </c>
      <c r="C77" s="289"/>
      <c r="D77" s="289"/>
      <c r="E77" s="289"/>
      <c r="F77" s="128">
        <f>$F$72</f>
        <v>624.32000000000005</v>
      </c>
    </row>
    <row r="78" spans="1:6" x14ac:dyDescent="0.3">
      <c r="A78" s="271" t="s">
        <v>604</v>
      </c>
      <c r="B78" s="271"/>
      <c r="C78" s="271"/>
      <c r="D78" s="271"/>
      <c r="E78" s="271"/>
      <c r="F78" s="119">
        <f>TRUNC(SUM(F75:F77),2)</f>
        <v>1449.34</v>
      </c>
    </row>
    <row r="79" spans="1:6" x14ac:dyDescent="0.3">
      <c r="A79" s="270"/>
      <c r="B79" s="270"/>
      <c r="C79" s="270"/>
      <c r="D79" s="270"/>
      <c r="E79" s="270"/>
      <c r="F79" s="270"/>
    </row>
    <row r="80" spans="1:6" x14ac:dyDescent="0.3">
      <c r="A80" s="271" t="s">
        <v>605</v>
      </c>
      <c r="B80" s="271"/>
      <c r="C80" s="271"/>
      <c r="D80" s="271"/>
      <c r="E80" s="271"/>
      <c r="F80" s="271"/>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4.58</v>
      </c>
    </row>
    <row r="83" spans="1:6" x14ac:dyDescent="0.3">
      <c r="A83" s="117" t="s">
        <v>554</v>
      </c>
      <c r="B83" s="283" t="s">
        <v>608</v>
      </c>
      <c r="C83" s="283"/>
      <c r="D83" s="283"/>
      <c r="E83" s="208">
        <f>(8%*0.29%)</f>
        <v>2.32E-4</v>
      </c>
      <c r="F83" s="129">
        <f>TRUNC((($F$41+$F$48)*E83),2)</f>
        <v>0.4</v>
      </c>
    </row>
    <row r="84" spans="1:6" ht="16.5" customHeight="1" x14ac:dyDescent="0.3">
      <c r="A84" s="115" t="s">
        <v>556</v>
      </c>
      <c r="B84" s="290" t="s">
        <v>609</v>
      </c>
      <c r="C84" s="290"/>
      <c r="D84" s="290"/>
      <c r="E84" s="207">
        <f>(56.24%)*5.55%*40%*8%</f>
        <v>9.9882240000000004E-4</v>
      </c>
      <c r="F84" s="116">
        <f>TRUNC((($F$41+$F$48)*E84),2)</f>
        <v>1.76</v>
      </c>
    </row>
    <row r="85" spans="1:6" x14ac:dyDescent="0.3">
      <c r="A85" s="117" t="s">
        <v>558</v>
      </c>
      <c r="B85" s="283" t="s">
        <v>610</v>
      </c>
      <c r="C85" s="283"/>
      <c r="D85" s="283"/>
      <c r="E85" s="208">
        <f>((56.24%)*94.45%*(7/30)/12)</f>
        <v>1.0328632222222222E-2</v>
      </c>
      <c r="F85" s="129">
        <f>TRUNC((($F$41+$F$48)*E85),2)</f>
        <v>18.21</v>
      </c>
    </row>
    <row r="86" spans="1:6" x14ac:dyDescent="0.3">
      <c r="A86" s="116" t="s">
        <v>560</v>
      </c>
      <c r="B86" s="291" t="s">
        <v>611</v>
      </c>
      <c r="C86" s="291"/>
      <c r="D86" s="291"/>
      <c r="E86" s="207">
        <f>1.03%*36.8%</f>
        <v>3.7904000000000002E-3</v>
      </c>
      <c r="F86" s="116">
        <f>TRUNC((($F$41+$F$48)*E86),2)</f>
        <v>6.68</v>
      </c>
    </row>
    <row r="87" spans="1:6" x14ac:dyDescent="0.3">
      <c r="A87" s="117" t="s">
        <v>562</v>
      </c>
      <c r="B87" s="283" t="s">
        <v>612</v>
      </c>
      <c r="C87" s="283"/>
      <c r="D87" s="283"/>
      <c r="E87" s="208">
        <f>(56.24%)*94.45%*40%*8%</f>
        <v>1.6997977600000002E-2</v>
      </c>
      <c r="F87" s="129">
        <f>TRUNC((($F$41+F48)*E87),2)</f>
        <v>29.96</v>
      </c>
    </row>
    <row r="88" spans="1:6" x14ac:dyDescent="0.3">
      <c r="A88" s="271" t="s">
        <v>613</v>
      </c>
      <c r="B88" s="271"/>
      <c r="C88" s="271"/>
      <c r="D88" s="271"/>
      <c r="E88" s="126">
        <f>SUM(E82:E87)</f>
        <v>3.4948932222222229E-2</v>
      </c>
      <c r="F88" s="119">
        <f>TRUNC(SUM(F82:F87),2)</f>
        <v>61.59</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618</v>
      </c>
      <c r="C93" s="282"/>
      <c r="D93" s="282"/>
      <c r="E93" s="123"/>
      <c r="F93" s="130">
        <f t="shared" ref="F93:F98" si="1">TRUNC((($F$41+$F$78)*E93),2)</f>
        <v>0</v>
      </c>
    </row>
    <row r="94" spans="1:6" x14ac:dyDescent="0.3">
      <c r="A94" s="117" t="s">
        <v>554</v>
      </c>
      <c r="B94" s="283" t="s">
        <v>619</v>
      </c>
      <c r="C94" s="283"/>
      <c r="D94" s="283"/>
      <c r="E94" s="208">
        <f>(8/30)/12</f>
        <v>2.2222222222222223E-2</v>
      </c>
      <c r="F94" s="129">
        <f t="shared" si="1"/>
        <v>67.47</v>
      </c>
    </row>
    <row r="95" spans="1:6" x14ac:dyDescent="0.3">
      <c r="A95" s="115" t="s">
        <v>556</v>
      </c>
      <c r="B95" s="282" t="s">
        <v>620</v>
      </c>
      <c r="C95" s="282"/>
      <c r="D95" s="282"/>
      <c r="E95" s="207">
        <f>(((20/30)/12)*1.416%*45.22%)</f>
        <v>3.557306666666666E-4</v>
      </c>
      <c r="F95" s="130">
        <f t="shared" si="1"/>
        <v>1.08</v>
      </c>
    </row>
    <row r="96" spans="1:6" x14ac:dyDescent="0.3">
      <c r="A96" s="117" t="s">
        <v>558</v>
      </c>
      <c r="B96" s="283" t="s">
        <v>621</v>
      </c>
      <c r="C96" s="283"/>
      <c r="D96" s="283"/>
      <c r="E96" s="208">
        <f>((15/30)/12)*0.44%</f>
        <v>1.8333333333333334E-4</v>
      </c>
      <c r="F96" s="129">
        <f t="shared" si="1"/>
        <v>0.55000000000000004</v>
      </c>
    </row>
    <row r="97" spans="1:6" x14ac:dyDescent="0.3">
      <c r="A97" s="115" t="s">
        <v>560</v>
      </c>
      <c r="B97" s="282" t="s">
        <v>622</v>
      </c>
      <c r="C97" s="282"/>
      <c r="D97" s="282"/>
      <c r="E97" s="207">
        <f>(((180/30)/12*1.416%*54.78%*36.8%))</f>
        <v>1.4272600319999999E-3</v>
      </c>
      <c r="F97" s="130">
        <f t="shared" si="1"/>
        <v>4.33</v>
      </c>
    </row>
    <row r="98" spans="1:6" x14ac:dyDescent="0.3">
      <c r="A98" s="117" t="s">
        <v>562</v>
      </c>
      <c r="B98" s="283" t="s">
        <v>623</v>
      </c>
      <c r="C98" s="283"/>
      <c r="D98" s="283"/>
      <c r="E98" s="208">
        <v>0</v>
      </c>
      <c r="F98" s="129">
        <f t="shared" si="1"/>
        <v>0</v>
      </c>
    </row>
    <row r="99" spans="1:6" x14ac:dyDescent="0.3">
      <c r="A99" s="271" t="s">
        <v>624</v>
      </c>
      <c r="B99" s="271"/>
      <c r="C99" s="271"/>
      <c r="D99" s="271"/>
      <c r="E99" s="126">
        <f>SUM(E93:E98)</f>
        <v>2.4188546254222225E-2</v>
      </c>
      <c r="F99" s="119">
        <f>TRUNC(SUM(F93:F98),2)</f>
        <v>73.430000000000007</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58" t="s">
        <v>552</v>
      </c>
      <c r="B102" s="307" t="s">
        <v>628</v>
      </c>
      <c r="C102" s="307"/>
      <c r="D102" s="307"/>
      <c r="E102" s="159" t="s">
        <v>629</v>
      </c>
      <c r="F102" s="160">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68" t="s">
        <v>616</v>
      </c>
      <c r="B105" s="294" t="s">
        <v>617</v>
      </c>
      <c r="C105" s="294"/>
      <c r="D105" s="294"/>
      <c r="E105" s="294"/>
      <c r="F105" s="73">
        <f>$F$99</f>
        <v>73.430000000000007</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73.430000000000007</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Unif!I153</f>
        <v>96.38</v>
      </c>
    </row>
    <row r="112" spans="1:6" x14ac:dyDescent="0.3">
      <c r="A112" s="110" t="s">
        <v>554</v>
      </c>
      <c r="B112" s="285" t="s">
        <v>636</v>
      </c>
      <c r="C112" s="285"/>
      <c r="D112" s="285"/>
      <c r="E112" s="285"/>
      <c r="F112" s="113">
        <f>('MLHCC - Ônus da Contratada'!G21+MLPH!F92)</f>
        <v>354.80999999999995</v>
      </c>
    </row>
    <row r="113" spans="1:6" x14ac:dyDescent="0.3">
      <c r="A113" s="127" t="s">
        <v>556</v>
      </c>
      <c r="B113" s="293" t="s">
        <v>673</v>
      </c>
      <c r="C113" s="293"/>
      <c r="D113" s="293"/>
      <c r="E113" s="293"/>
      <c r="F113" s="128">
        <f>MP!P17</f>
        <v>96.77</v>
      </c>
    </row>
    <row r="114" spans="1:6" x14ac:dyDescent="0.3">
      <c r="A114" s="110" t="s">
        <v>558</v>
      </c>
      <c r="B114" s="285" t="s">
        <v>638</v>
      </c>
      <c r="C114" s="285"/>
      <c r="D114" s="285"/>
      <c r="E114" s="285"/>
      <c r="F114" s="113">
        <f>'EPI´s - LC'!E9</f>
        <v>5.23</v>
      </c>
    </row>
    <row r="115" spans="1:6" x14ac:dyDescent="0.3">
      <c r="A115" s="271" t="s">
        <v>639</v>
      </c>
      <c r="B115" s="271"/>
      <c r="C115" s="271"/>
      <c r="D115" s="271"/>
      <c r="E115" s="271"/>
      <c r="F115" s="119">
        <f>TRUNC(SUM(F111:F114),2)</f>
        <v>553.19000000000005</v>
      </c>
    </row>
    <row r="116" spans="1:6" x14ac:dyDescent="0.3">
      <c r="A116" s="270"/>
      <c r="B116" s="270"/>
      <c r="C116" s="270"/>
      <c r="D116" s="270"/>
      <c r="E116" s="270"/>
      <c r="F116" s="270"/>
    </row>
    <row r="117" spans="1:6" x14ac:dyDescent="0.3">
      <c r="A117" s="271" t="s">
        <v>640</v>
      </c>
      <c r="B117" s="271"/>
      <c r="C117" s="271"/>
      <c r="D117" s="271"/>
      <c r="E117" s="271"/>
      <c r="F117" s="271"/>
    </row>
    <row r="118" spans="1:6" x14ac:dyDescent="0.3">
      <c r="A118" s="272" t="s">
        <v>641</v>
      </c>
      <c r="B118" s="272"/>
      <c r="C118" s="272"/>
      <c r="D118" s="272"/>
      <c r="E118" s="114" t="s">
        <v>571</v>
      </c>
      <c r="F118" s="162" t="s">
        <v>551</v>
      </c>
    </row>
    <row r="119" spans="1:6" x14ac:dyDescent="0.3">
      <c r="A119" s="127" t="s">
        <v>552</v>
      </c>
      <c r="B119" s="293" t="s">
        <v>642</v>
      </c>
      <c r="C119" s="293"/>
      <c r="D119" s="293"/>
      <c r="E119" s="154">
        <f>'Salários.VA.VT.QteDias.LDI.T'!$G$46</f>
        <v>4.7300000000000002E-2</v>
      </c>
      <c r="F119" s="116">
        <f>TRUNC(($F$134*$E$119),2)</f>
        <v>176.16</v>
      </c>
    </row>
    <row r="120" spans="1:6" x14ac:dyDescent="0.3">
      <c r="A120" s="110" t="s">
        <v>554</v>
      </c>
      <c r="B120" s="285" t="s">
        <v>643</v>
      </c>
      <c r="C120" s="285"/>
      <c r="D120" s="285"/>
      <c r="E120" s="133">
        <f>'Salários.VA.VT.QteDias.LDI.T'!$G$47</f>
        <v>5.57E-2</v>
      </c>
      <c r="F120" s="118">
        <f>TRUNC((($F$134+$F$119)*E120),2)</f>
        <v>217.26</v>
      </c>
    </row>
    <row r="121" spans="1:6" x14ac:dyDescent="0.3">
      <c r="A121" s="274" t="s">
        <v>644</v>
      </c>
      <c r="B121" s="274"/>
      <c r="C121" s="274"/>
      <c r="D121" s="274"/>
      <c r="E121" s="71" t="s">
        <v>571</v>
      </c>
      <c r="F121" s="166" t="s">
        <v>551</v>
      </c>
    </row>
    <row r="122" spans="1:6" x14ac:dyDescent="0.3">
      <c r="A122" s="110" t="s">
        <v>552</v>
      </c>
      <c r="B122" s="285" t="s">
        <v>93</v>
      </c>
      <c r="C122" s="285"/>
      <c r="D122" s="285"/>
      <c r="E122" s="209">
        <v>6.4999999999999997E-3</v>
      </c>
      <c r="F122" s="118">
        <f>TRUNC(((($F$134+$F$119+$F$120)/0.9135)*E122),2)</f>
        <v>29.3</v>
      </c>
    </row>
    <row r="123" spans="1:6" x14ac:dyDescent="0.3">
      <c r="A123" s="68" t="s">
        <v>554</v>
      </c>
      <c r="B123" s="294" t="s">
        <v>645</v>
      </c>
      <c r="C123" s="294"/>
      <c r="D123" s="294"/>
      <c r="E123" s="210">
        <v>0.03</v>
      </c>
      <c r="F123" s="135">
        <f>TRUNC(((($F$134+$F$119+$F$120)/0.9135)*E123),2)</f>
        <v>135.22999999999999</v>
      </c>
    </row>
    <row r="124" spans="1:6" x14ac:dyDescent="0.3">
      <c r="A124" s="110" t="s">
        <v>556</v>
      </c>
      <c r="B124" s="285" t="s">
        <v>95</v>
      </c>
      <c r="C124" s="285"/>
      <c r="D124" s="285"/>
      <c r="E124" s="209">
        <v>0.05</v>
      </c>
      <c r="F124" s="118">
        <f>TRUNC(((($F$134+$F$119+$F$120)/0.9135)*E124),2)</f>
        <v>225.38</v>
      </c>
    </row>
    <row r="125" spans="1:6" x14ac:dyDescent="0.3">
      <c r="A125" s="271" t="s">
        <v>646</v>
      </c>
      <c r="B125" s="271"/>
      <c r="C125" s="271"/>
      <c r="D125" s="271"/>
      <c r="E125" s="126">
        <f>SUM(E122:E124)</f>
        <v>8.6499999999999994E-2</v>
      </c>
      <c r="F125" s="119">
        <f>TRUNC(SUM($F$119,$F$120,$F$122,$F$123,$F$124),2)</f>
        <v>783.33</v>
      </c>
    </row>
    <row r="126" spans="1:6" x14ac:dyDescent="0.3">
      <c r="A126" s="270"/>
      <c r="B126" s="270"/>
      <c r="C126" s="270"/>
      <c r="D126" s="270"/>
      <c r="E126" s="270"/>
      <c r="F126" s="270"/>
    </row>
    <row r="127" spans="1:6" x14ac:dyDescent="0.3">
      <c r="A127" s="271" t="s">
        <v>647</v>
      </c>
      <c r="B127" s="271"/>
      <c r="C127" s="271"/>
      <c r="D127" s="271"/>
      <c r="E127" s="271"/>
      <c r="F127" s="271"/>
    </row>
    <row r="128" spans="1:6" x14ac:dyDescent="0.3">
      <c r="A128" s="253" t="s">
        <v>648</v>
      </c>
      <c r="B128" s="253"/>
      <c r="C128" s="253"/>
      <c r="D128" s="253"/>
      <c r="E128" s="253"/>
      <c r="F128" s="40" t="s">
        <v>551</v>
      </c>
    </row>
    <row r="129" spans="1:6" x14ac:dyDescent="0.3">
      <c r="A129" s="110" t="s">
        <v>552</v>
      </c>
      <c r="B129" s="285" t="s">
        <v>649</v>
      </c>
      <c r="C129" s="285"/>
      <c r="D129" s="285"/>
      <c r="E129" s="285"/>
      <c r="F129" s="113">
        <f>$F$41</f>
        <v>1586.86</v>
      </c>
    </row>
    <row r="130" spans="1:6" x14ac:dyDescent="0.3">
      <c r="A130" s="127" t="s">
        <v>554</v>
      </c>
      <c r="B130" s="293" t="s">
        <v>650</v>
      </c>
      <c r="C130" s="293"/>
      <c r="D130" s="293"/>
      <c r="E130" s="293"/>
      <c r="F130" s="128">
        <f>$F$78</f>
        <v>1449.34</v>
      </c>
    </row>
    <row r="131" spans="1:6" x14ac:dyDescent="0.3">
      <c r="A131" s="110" t="s">
        <v>556</v>
      </c>
      <c r="B131" s="285" t="s">
        <v>651</v>
      </c>
      <c r="C131" s="285"/>
      <c r="D131" s="285"/>
      <c r="E131" s="285"/>
      <c r="F131" s="113">
        <f>$F$88</f>
        <v>61.59</v>
      </c>
    </row>
    <row r="132" spans="1:6" x14ac:dyDescent="0.3">
      <c r="A132" s="127" t="s">
        <v>558</v>
      </c>
      <c r="B132" s="293" t="s">
        <v>652</v>
      </c>
      <c r="C132" s="293"/>
      <c r="D132" s="293"/>
      <c r="E132" s="293"/>
      <c r="F132" s="128">
        <f>$F$107</f>
        <v>73.430000000000007</v>
      </c>
    </row>
    <row r="133" spans="1:6" x14ac:dyDescent="0.3">
      <c r="A133" s="110" t="s">
        <v>560</v>
      </c>
      <c r="B133" s="285" t="s">
        <v>653</v>
      </c>
      <c r="C133" s="285"/>
      <c r="D133" s="285"/>
      <c r="E133" s="285"/>
      <c r="F133" s="113">
        <f>$F$115</f>
        <v>553.19000000000005</v>
      </c>
    </row>
    <row r="134" spans="1:6" x14ac:dyDescent="0.3">
      <c r="A134" s="286" t="s">
        <v>654</v>
      </c>
      <c r="B134" s="286"/>
      <c r="C134" s="286"/>
      <c r="D134" s="286"/>
      <c r="E134" s="286"/>
      <c r="F134" s="128">
        <f>TRUNC(SUM(F129:F133),2)</f>
        <v>3724.41</v>
      </c>
    </row>
    <row r="135" spans="1:6" x14ac:dyDescent="0.3">
      <c r="A135" s="110" t="s">
        <v>562</v>
      </c>
      <c r="B135" s="281" t="s">
        <v>655</v>
      </c>
      <c r="C135" s="281"/>
      <c r="D135" s="281"/>
      <c r="E135" s="281"/>
      <c r="F135" s="113">
        <f>TRUNC(($F$125),2)</f>
        <v>783.33</v>
      </c>
    </row>
    <row r="136" spans="1:6" ht="16.5" customHeight="1" x14ac:dyDescent="0.3">
      <c r="A136" s="286" t="s">
        <v>656</v>
      </c>
      <c r="B136" s="286"/>
      <c r="C136" s="286"/>
      <c r="D136" s="286"/>
      <c r="E136" s="286"/>
      <c r="F136" s="128">
        <f>TRUNC(($F$134 + $F$135),2)</f>
        <v>4507.74</v>
      </c>
    </row>
    <row r="137" spans="1:6" ht="16.5" customHeight="1" x14ac:dyDescent="0.3">
      <c r="A137" s="270"/>
      <c r="B137" s="270"/>
      <c r="C137" s="270"/>
      <c r="D137" s="270"/>
      <c r="E137" s="270"/>
      <c r="F137" s="270"/>
    </row>
    <row r="138" spans="1:6" ht="16.5" customHeight="1" x14ac:dyDescent="0.3">
      <c r="A138" s="223" t="s">
        <v>657</v>
      </c>
      <c r="B138" s="223"/>
      <c r="C138" s="223"/>
      <c r="D138" s="223"/>
      <c r="E138" s="223"/>
      <c r="F138" s="223"/>
    </row>
    <row r="139" spans="1:6" x14ac:dyDescent="0.3">
      <c r="A139" s="136" t="s">
        <v>658</v>
      </c>
      <c r="B139" s="111" t="s">
        <v>659</v>
      </c>
      <c r="C139" s="111" t="s">
        <v>660</v>
      </c>
      <c r="D139" s="111" t="s">
        <v>661</v>
      </c>
      <c r="E139" s="111" t="s">
        <v>662</v>
      </c>
      <c r="F139" s="111" t="s">
        <v>112</v>
      </c>
    </row>
    <row r="140" spans="1:6" ht="20.399999999999999" x14ac:dyDescent="0.3">
      <c r="A140" s="137" t="str">
        <f>$C$26</f>
        <v>Serventes de Limpeza e Conservação</v>
      </c>
      <c r="B140" s="138">
        <f>$F$136</f>
        <v>4507.74</v>
      </c>
      <c r="C140" s="137">
        <f>$C$22</f>
        <v>5</v>
      </c>
      <c r="D140" s="137">
        <f>$C$18</f>
        <v>12</v>
      </c>
      <c r="E140" s="138">
        <f>TRUNC(($B$140 * $C$140),2)</f>
        <v>22538.7</v>
      </c>
      <c r="F140" s="138">
        <f>TRUNC(($D$140 * $E$140),2)</f>
        <v>270464.40000000002</v>
      </c>
    </row>
    <row r="141" spans="1:6" x14ac:dyDescent="0.3">
      <c r="A141" s="139"/>
      <c r="B141" s="139"/>
      <c r="C141" s="139"/>
      <c r="D141" s="139"/>
      <c r="E141" s="139"/>
      <c r="F141" s="139"/>
    </row>
    <row r="142" spans="1:6" x14ac:dyDescent="0.3">
      <c r="A142" s="139"/>
      <c r="B142" s="139"/>
      <c r="C142" s="139"/>
      <c r="D142" s="139"/>
      <c r="E142" s="139"/>
      <c r="F142" s="139"/>
    </row>
  </sheetData>
  <sheetProtection sheet="1" objects="1" scenarios="1"/>
  <protectedRanges>
    <protectedRange sqref="E122:E124" name="Intervalo6"/>
    <protectedRange sqref="E82:E87" name="Intervalo4"/>
    <protectedRange sqref="C10:F10 C13:F13 C15:F15 C16:F16 C17:F17 C28:F28 C30:F30 F35 F36 F37 F38 F39 F4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800-000000000000}"/>
    <hyperlink ref="C27" r:id="rId2" xr:uid="{00000000-0004-0000-1800-000001000000}"/>
  </hyperlinks>
  <pageMargins left="0.7" right="0.7" top="0.75" bottom="0.75" header="0.511811023622047" footer="0.511811023622047"/>
  <pageSetup paperSize="9" orientation="portrait" horizontalDpi="300" verticalDpi="300"/>
  <drawing r:id="rId3"/>
  <legacyDrawing r:id="rId4"/>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148"/>
  <sheetViews>
    <sheetView zoomScale="130" zoomScaleNormal="13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69"/>
      <c r="B1" s="269"/>
      <c r="C1" s="269"/>
      <c r="D1" s="269"/>
      <c r="E1" s="269"/>
      <c r="F1" s="269"/>
    </row>
    <row r="2" spans="1:6" x14ac:dyDescent="0.3">
      <c r="A2" s="269"/>
      <c r="B2" s="269"/>
      <c r="C2" s="269"/>
      <c r="D2" s="269"/>
      <c r="E2" s="269"/>
      <c r="F2" s="269"/>
    </row>
    <row r="3" spans="1:6" x14ac:dyDescent="0.3">
      <c r="A3" s="269"/>
      <c r="B3" s="269"/>
      <c r="C3" s="269"/>
      <c r="D3" s="269"/>
      <c r="E3" s="269"/>
      <c r="F3" s="269"/>
    </row>
    <row r="4" spans="1:6" x14ac:dyDescent="0.3">
      <c r="A4" s="269"/>
      <c r="B4" s="269"/>
      <c r="C4" s="269"/>
      <c r="D4" s="269"/>
      <c r="E4" s="269"/>
      <c r="F4" s="269"/>
    </row>
    <row r="5" spans="1:6" x14ac:dyDescent="0.3">
      <c r="A5" s="269"/>
      <c r="B5" s="269"/>
      <c r="C5" s="269"/>
      <c r="D5" s="269"/>
      <c r="E5" s="269"/>
      <c r="F5" s="269"/>
    </row>
    <row r="6" spans="1:6" x14ac:dyDescent="0.3">
      <c r="A6" s="269"/>
      <c r="B6" s="269"/>
      <c r="C6" s="269"/>
      <c r="D6" s="269"/>
      <c r="E6" s="269"/>
      <c r="F6" s="269"/>
    </row>
    <row r="7" spans="1:6" x14ac:dyDescent="0.3">
      <c r="A7" s="270"/>
      <c r="B7" s="270"/>
      <c r="C7" s="270"/>
      <c r="D7" s="270"/>
      <c r="E7" s="270"/>
      <c r="F7" s="270"/>
    </row>
    <row r="8" spans="1:6" x14ac:dyDescent="0.3">
      <c r="A8" s="271" t="s">
        <v>520</v>
      </c>
      <c r="B8" s="271"/>
      <c r="C8" s="271"/>
      <c r="D8" s="271"/>
      <c r="E8" s="271"/>
      <c r="F8" s="271"/>
    </row>
    <row r="9" spans="1:6" x14ac:dyDescent="0.3">
      <c r="A9" s="272" t="s">
        <v>521</v>
      </c>
      <c r="B9" s="272"/>
      <c r="C9" s="273" t="s">
        <v>663</v>
      </c>
      <c r="D9" s="273"/>
      <c r="E9" s="273"/>
      <c r="F9" s="273"/>
    </row>
    <row r="10" spans="1:6" x14ac:dyDescent="0.3">
      <c r="A10" s="274" t="s">
        <v>523</v>
      </c>
      <c r="B10" s="274"/>
      <c r="C10" s="275" t="s">
        <v>524</v>
      </c>
      <c r="D10" s="275"/>
      <c r="E10" s="275"/>
      <c r="F10" s="275"/>
    </row>
    <row r="11" spans="1:6" x14ac:dyDescent="0.3">
      <c r="A11" s="270"/>
      <c r="B11" s="270"/>
      <c r="C11" s="270"/>
      <c r="D11" s="270"/>
      <c r="E11" s="270"/>
      <c r="F11" s="270"/>
    </row>
    <row r="12" spans="1:6" x14ac:dyDescent="0.3">
      <c r="A12" s="271" t="s">
        <v>525</v>
      </c>
      <c r="B12" s="271"/>
      <c r="C12" s="271"/>
      <c r="D12" s="271"/>
      <c r="E12" s="271"/>
      <c r="F12" s="271"/>
    </row>
    <row r="13" spans="1:6" x14ac:dyDescent="0.3">
      <c r="A13" s="272" t="s">
        <v>526</v>
      </c>
      <c r="B13" s="272"/>
      <c r="C13" s="276" t="s">
        <v>527</v>
      </c>
      <c r="D13" s="276"/>
      <c r="E13" s="276"/>
      <c r="F13" s="276"/>
    </row>
    <row r="14" spans="1:6" x14ac:dyDescent="0.3">
      <c r="A14" s="274" t="s">
        <v>528</v>
      </c>
      <c r="B14" s="274"/>
      <c r="C14" s="274" t="s">
        <v>529</v>
      </c>
      <c r="D14" s="274"/>
      <c r="E14" s="274"/>
      <c r="F14" s="274"/>
    </row>
    <row r="15" spans="1:6" ht="16.5" customHeight="1" x14ac:dyDescent="0.3">
      <c r="A15" s="226" t="s">
        <v>530</v>
      </c>
      <c r="B15" s="226"/>
      <c r="C15" s="277" t="s">
        <v>531</v>
      </c>
      <c r="D15" s="277"/>
      <c r="E15" s="277"/>
      <c r="F15" s="277"/>
    </row>
    <row r="16" spans="1:6" x14ac:dyDescent="0.3">
      <c r="A16" s="226"/>
      <c r="B16" s="226"/>
      <c r="C16" s="277" t="s">
        <v>532</v>
      </c>
      <c r="D16" s="277"/>
      <c r="E16" s="277"/>
      <c r="F16" s="277"/>
    </row>
    <row r="17" spans="1:6" x14ac:dyDescent="0.3">
      <c r="A17" s="226"/>
      <c r="B17" s="226"/>
      <c r="C17" s="277" t="s">
        <v>533</v>
      </c>
      <c r="D17" s="277"/>
      <c r="E17" s="277"/>
      <c r="F17" s="277"/>
    </row>
    <row r="18" spans="1:6" x14ac:dyDescent="0.3">
      <c r="A18" s="274" t="s">
        <v>534</v>
      </c>
      <c r="B18" s="274"/>
      <c r="C18" s="274">
        <v>12</v>
      </c>
      <c r="D18" s="274"/>
      <c r="E18" s="274"/>
      <c r="F18" s="274"/>
    </row>
    <row r="19" spans="1:6" x14ac:dyDescent="0.3">
      <c r="A19" s="270"/>
      <c r="B19" s="270"/>
      <c r="C19" s="270"/>
      <c r="D19" s="270"/>
      <c r="E19" s="270"/>
      <c r="F19" s="270"/>
    </row>
    <row r="20" spans="1:6" x14ac:dyDescent="0.3">
      <c r="A20" s="271" t="s">
        <v>535</v>
      </c>
      <c r="B20" s="271"/>
      <c r="C20" s="271"/>
      <c r="D20" s="271"/>
      <c r="E20" s="271"/>
      <c r="F20" s="271"/>
    </row>
    <row r="21" spans="1:6" x14ac:dyDescent="0.3">
      <c r="A21" s="272" t="s">
        <v>536</v>
      </c>
      <c r="B21" s="272"/>
      <c r="C21" s="272" t="s">
        <v>537</v>
      </c>
      <c r="D21" s="272"/>
      <c r="E21" s="272"/>
      <c r="F21" s="272"/>
    </row>
    <row r="22" spans="1:6" ht="27" customHeight="1" x14ac:dyDescent="0.3">
      <c r="A22" s="227" t="s">
        <v>538</v>
      </c>
      <c r="B22" s="227"/>
      <c r="C22" s="274">
        <v>1</v>
      </c>
      <c r="D22" s="274"/>
      <c r="E22" s="274"/>
      <c r="F22" s="274"/>
    </row>
    <row r="23" spans="1:6" x14ac:dyDescent="0.3">
      <c r="A23" s="270"/>
      <c r="B23" s="270"/>
      <c r="C23" s="270"/>
      <c r="D23" s="270"/>
      <c r="E23" s="270"/>
      <c r="F23" s="270"/>
    </row>
    <row r="24" spans="1:6" x14ac:dyDescent="0.3">
      <c r="A24" s="271" t="s">
        <v>539</v>
      </c>
      <c r="B24" s="271"/>
      <c r="C24" s="271"/>
      <c r="D24" s="271"/>
      <c r="E24" s="271"/>
      <c r="F24" s="271"/>
    </row>
    <row r="25" spans="1:6" x14ac:dyDescent="0.3">
      <c r="A25" s="274" t="s">
        <v>540</v>
      </c>
      <c r="B25" s="274"/>
      <c r="C25" s="274"/>
      <c r="D25" s="274"/>
      <c r="E25" s="274"/>
      <c r="F25" s="274"/>
    </row>
    <row r="26" spans="1:6" ht="21" customHeight="1" x14ac:dyDescent="0.3">
      <c r="A26" s="226" t="s">
        <v>541</v>
      </c>
      <c r="B26" s="226"/>
      <c r="C26" s="272" t="s">
        <v>51</v>
      </c>
      <c r="D26" s="272"/>
      <c r="E26" s="272"/>
      <c r="F26" s="272"/>
    </row>
    <row r="27" spans="1:6" x14ac:dyDescent="0.3">
      <c r="A27" s="274" t="s">
        <v>542</v>
      </c>
      <c r="B27" s="274"/>
      <c r="C27" s="303" t="s">
        <v>676</v>
      </c>
      <c r="D27" s="303"/>
      <c r="E27" s="303"/>
      <c r="F27" s="303"/>
    </row>
    <row r="28" spans="1:6" x14ac:dyDescent="0.3">
      <c r="A28" s="272" t="s">
        <v>544</v>
      </c>
      <c r="B28" s="272"/>
      <c r="C28" s="279">
        <f>'Salários.VA.VT.QteDias.LDI.T'!I3</f>
        <v>1904</v>
      </c>
      <c r="D28" s="279"/>
      <c r="E28" s="279"/>
      <c r="F28" s="279"/>
    </row>
    <row r="29" spans="1:6" ht="24.75" customHeight="1" x14ac:dyDescent="0.3">
      <c r="A29" s="227" t="s">
        <v>545</v>
      </c>
      <c r="B29" s="227"/>
      <c r="C29" s="274" t="s">
        <v>546</v>
      </c>
      <c r="D29" s="274"/>
      <c r="E29" s="274"/>
      <c r="F29" s="274"/>
    </row>
    <row r="30" spans="1:6" x14ac:dyDescent="0.3">
      <c r="A30" s="272" t="s">
        <v>547</v>
      </c>
      <c r="B30" s="272"/>
      <c r="C30" s="276" t="s">
        <v>548</v>
      </c>
      <c r="D30" s="276"/>
      <c r="E30" s="276"/>
      <c r="F30" s="276"/>
    </row>
    <row r="31" spans="1:6" x14ac:dyDescent="0.3">
      <c r="A31" s="280" t="s">
        <v>549</v>
      </c>
      <c r="B31" s="280"/>
      <c r="C31" s="280"/>
      <c r="D31" s="280"/>
      <c r="E31" s="280"/>
      <c r="F31" s="280"/>
    </row>
    <row r="32" spans="1:6" x14ac:dyDescent="0.3">
      <c r="A32" s="271" t="s">
        <v>550</v>
      </c>
      <c r="B32" s="271"/>
      <c r="C32" s="271"/>
      <c r="D32" s="271"/>
      <c r="E32" s="271"/>
      <c r="F32" s="271"/>
    </row>
    <row r="33" spans="1:6" x14ac:dyDescent="0.3">
      <c r="A33" s="110" t="s">
        <v>1</v>
      </c>
      <c r="B33" s="281" t="s">
        <v>453</v>
      </c>
      <c r="C33" s="281"/>
      <c r="D33" s="281"/>
      <c r="E33" s="281"/>
      <c r="F33" s="114" t="s">
        <v>551</v>
      </c>
    </row>
    <row r="34" spans="1:6" x14ac:dyDescent="0.3">
      <c r="A34" s="115" t="s">
        <v>552</v>
      </c>
      <c r="B34" s="282" t="s">
        <v>553</v>
      </c>
      <c r="C34" s="282"/>
      <c r="D34" s="282"/>
      <c r="E34" s="282"/>
      <c r="F34" s="116">
        <f>$C$28</f>
        <v>1904</v>
      </c>
    </row>
    <row r="35" spans="1:6" x14ac:dyDescent="0.3">
      <c r="A35" s="117" t="s">
        <v>554</v>
      </c>
      <c r="B35" s="283" t="s">
        <v>555</v>
      </c>
      <c r="C35" s="283"/>
      <c r="D35" s="283"/>
      <c r="E35" s="283"/>
      <c r="F35" s="205">
        <v>0</v>
      </c>
    </row>
    <row r="36" spans="1:6" x14ac:dyDescent="0.3">
      <c r="A36" s="115" t="s">
        <v>556</v>
      </c>
      <c r="B36" s="284" t="s">
        <v>557</v>
      </c>
      <c r="C36" s="284"/>
      <c r="D36" s="284"/>
      <c r="E36" s="284"/>
      <c r="F36" s="206">
        <v>0</v>
      </c>
    </row>
    <row r="37" spans="1:6" x14ac:dyDescent="0.3">
      <c r="A37" s="117" t="s">
        <v>558</v>
      </c>
      <c r="B37" s="283" t="s">
        <v>559</v>
      </c>
      <c r="C37" s="283"/>
      <c r="D37" s="283"/>
      <c r="E37" s="283"/>
      <c r="F37" s="205">
        <v>0</v>
      </c>
    </row>
    <row r="38" spans="1:6" x14ac:dyDescent="0.3">
      <c r="A38" s="115" t="s">
        <v>560</v>
      </c>
      <c r="B38" s="282" t="s">
        <v>561</v>
      </c>
      <c r="C38" s="282"/>
      <c r="D38" s="282"/>
      <c r="E38" s="282"/>
      <c r="F38" s="206">
        <v>0</v>
      </c>
    </row>
    <row r="39" spans="1:6" x14ac:dyDescent="0.3">
      <c r="A39" s="117" t="s">
        <v>562</v>
      </c>
      <c r="B39" s="283" t="s">
        <v>563</v>
      </c>
      <c r="C39" s="283"/>
      <c r="D39" s="283"/>
      <c r="E39" s="283"/>
      <c r="F39" s="205">
        <v>0</v>
      </c>
    </row>
    <row r="40" spans="1:6" x14ac:dyDescent="0.3">
      <c r="A40" s="115" t="s">
        <v>564</v>
      </c>
      <c r="B40" s="282" t="s">
        <v>565</v>
      </c>
      <c r="C40" s="282"/>
      <c r="D40" s="282"/>
      <c r="E40" s="282"/>
      <c r="F40" s="206">
        <v>0</v>
      </c>
    </row>
    <row r="41" spans="1:6" x14ac:dyDescent="0.3">
      <c r="A41" s="271" t="s">
        <v>566</v>
      </c>
      <c r="B41" s="271"/>
      <c r="C41" s="271"/>
      <c r="D41" s="271"/>
      <c r="E41" s="271"/>
      <c r="F41" s="119">
        <f>TRUNC(SUM(F34:F40),2)</f>
        <v>1904</v>
      </c>
    </row>
    <row r="42" spans="1:6" x14ac:dyDescent="0.3">
      <c r="A42" s="270"/>
      <c r="B42" s="270"/>
      <c r="C42" s="270"/>
      <c r="D42" s="270"/>
      <c r="E42" s="270"/>
      <c r="F42" s="270"/>
    </row>
    <row r="43" spans="1:6" x14ac:dyDescent="0.3">
      <c r="A43" s="271" t="s">
        <v>567</v>
      </c>
      <c r="B43" s="271"/>
      <c r="C43" s="271"/>
      <c r="D43" s="271"/>
      <c r="E43" s="271"/>
      <c r="F43" s="271"/>
    </row>
    <row r="44" spans="1:6" x14ac:dyDescent="0.3">
      <c r="A44" s="253" t="s">
        <v>677</v>
      </c>
      <c r="B44" s="253"/>
      <c r="C44" s="253"/>
      <c r="D44" s="253"/>
      <c r="E44" s="253"/>
      <c r="F44" s="253"/>
    </row>
    <row r="45" spans="1:6" x14ac:dyDescent="0.3">
      <c r="A45" s="110" t="s">
        <v>569</v>
      </c>
      <c r="B45" s="281" t="s">
        <v>570</v>
      </c>
      <c r="C45" s="281"/>
      <c r="D45" s="281"/>
      <c r="E45" s="114" t="s">
        <v>571</v>
      </c>
      <c r="F45" s="114" t="s">
        <v>551</v>
      </c>
    </row>
    <row r="46" spans="1:6" x14ac:dyDescent="0.3">
      <c r="A46" s="115" t="s">
        <v>552</v>
      </c>
      <c r="B46" s="282" t="s">
        <v>572</v>
      </c>
      <c r="C46" s="282"/>
      <c r="D46" s="282"/>
      <c r="E46" s="120">
        <f>TRUNC((100/12),2)</f>
        <v>8.33</v>
      </c>
      <c r="F46" s="116">
        <f>TRUNC((F41*E46%),2)</f>
        <v>158.6</v>
      </c>
    </row>
    <row r="47" spans="1:6" x14ac:dyDescent="0.3">
      <c r="A47" s="117" t="s">
        <v>554</v>
      </c>
      <c r="B47" s="283" t="s">
        <v>573</v>
      </c>
      <c r="C47" s="283"/>
      <c r="D47" s="283"/>
      <c r="E47" s="121">
        <f>E46/3</f>
        <v>2.7766666666666668</v>
      </c>
      <c r="F47" s="118">
        <f>TRUNC((F41*E47%),2)</f>
        <v>52.86</v>
      </c>
    </row>
    <row r="48" spans="1:6" x14ac:dyDescent="0.3">
      <c r="A48" s="271" t="s">
        <v>574</v>
      </c>
      <c r="B48" s="271"/>
      <c r="C48" s="271"/>
      <c r="D48" s="271"/>
      <c r="E48" s="122">
        <f>SUM(E46:E47)</f>
        <v>11.106666666666667</v>
      </c>
      <c r="F48" s="119">
        <f>TRUNC((SUM(F46:F47)),2)</f>
        <v>211.46</v>
      </c>
    </row>
    <row r="49" spans="1:6" x14ac:dyDescent="0.3">
      <c r="A49" s="253" t="s">
        <v>575</v>
      </c>
      <c r="B49" s="253"/>
      <c r="C49" s="253"/>
      <c r="D49" s="253"/>
      <c r="E49" s="253"/>
      <c r="F49" s="253"/>
    </row>
    <row r="50" spans="1:6" x14ac:dyDescent="0.3">
      <c r="A50" s="110" t="s">
        <v>576</v>
      </c>
      <c r="B50" s="285" t="s">
        <v>577</v>
      </c>
      <c r="C50" s="285"/>
      <c r="D50" s="285"/>
      <c r="E50" s="114" t="s">
        <v>571</v>
      </c>
      <c r="F50" s="114" t="s">
        <v>551</v>
      </c>
    </row>
    <row r="51" spans="1:6" x14ac:dyDescent="0.3">
      <c r="A51" s="115" t="s">
        <v>552</v>
      </c>
      <c r="B51" s="282" t="s">
        <v>578</v>
      </c>
      <c r="C51" s="282"/>
      <c r="D51" s="282"/>
      <c r="E51" s="123">
        <v>0.2</v>
      </c>
      <c r="F51" s="116">
        <f t="shared" ref="F51:F58" si="0">TRUNC((($F$41+$F$48)*E51),2)</f>
        <v>423.09</v>
      </c>
    </row>
    <row r="52" spans="1:6" x14ac:dyDescent="0.3">
      <c r="A52" s="117" t="s">
        <v>554</v>
      </c>
      <c r="B52" s="283" t="s">
        <v>579</v>
      </c>
      <c r="C52" s="283"/>
      <c r="D52" s="283"/>
      <c r="E52" s="124">
        <v>2.5000000000000001E-2</v>
      </c>
      <c r="F52" s="118">
        <f t="shared" si="0"/>
        <v>52.88</v>
      </c>
    </row>
    <row r="53" spans="1:6" x14ac:dyDescent="0.3">
      <c r="A53" s="125" t="s">
        <v>556</v>
      </c>
      <c r="B53" s="282" t="s">
        <v>580</v>
      </c>
      <c r="C53" s="282"/>
      <c r="D53" s="282"/>
      <c r="E53" s="207">
        <v>0.03</v>
      </c>
      <c r="F53" s="116">
        <f t="shared" si="0"/>
        <v>63.46</v>
      </c>
    </row>
    <row r="54" spans="1:6" x14ac:dyDescent="0.3">
      <c r="A54" s="117" t="s">
        <v>558</v>
      </c>
      <c r="B54" s="283" t="s">
        <v>581</v>
      </c>
      <c r="C54" s="283"/>
      <c r="D54" s="283"/>
      <c r="E54" s="124">
        <v>1.4999999999999999E-2</v>
      </c>
      <c r="F54" s="118">
        <f t="shared" si="0"/>
        <v>31.73</v>
      </c>
    </row>
    <row r="55" spans="1:6" x14ac:dyDescent="0.3">
      <c r="A55" s="115" t="s">
        <v>560</v>
      </c>
      <c r="B55" s="282" t="s">
        <v>582</v>
      </c>
      <c r="C55" s="282"/>
      <c r="D55" s="282"/>
      <c r="E55" s="123">
        <v>0.01</v>
      </c>
      <c r="F55" s="116">
        <f t="shared" si="0"/>
        <v>21.15</v>
      </c>
    </row>
    <row r="56" spans="1:6" x14ac:dyDescent="0.3">
      <c r="A56" s="117" t="s">
        <v>562</v>
      </c>
      <c r="B56" s="283" t="s">
        <v>583</v>
      </c>
      <c r="C56" s="283"/>
      <c r="D56" s="283"/>
      <c r="E56" s="124">
        <v>6.0000000000000001E-3</v>
      </c>
      <c r="F56" s="118">
        <f t="shared" si="0"/>
        <v>12.69</v>
      </c>
    </row>
    <row r="57" spans="1:6" x14ac:dyDescent="0.3">
      <c r="A57" s="115" t="s">
        <v>564</v>
      </c>
      <c r="B57" s="282" t="s">
        <v>584</v>
      </c>
      <c r="C57" s="282"/>
      <c r="D57" s="282"/>
      <c r="E57" s="123">
        <v>2E-3</v>
      </c>
      <c r="F57" s="116">
        <f t="shared" si="0"/>
        <v>4.2300000000000004</v>
      </c>
    </row>
    <row r="58" spans="1:6" x14ac:dyDescent="0.3">
      <c r="A58" s="117" t="s">
        <v>585</v>
      </c>
      <c r="B58" s="283" t="s">
        <v>586</v>
      </c>
      <c r="C58" s="283"/>
      <c r="D58" s="283"/>
      <c r="E58" s="124">
        <v>0.08</v>
      </c>
      <c r="F58" s="118">
        <f t="shared" si="0"/>
        <v>169.23</v>
      </c>
    </row>
    <row r="59" spans="1:6" x14ac:dyDescent="0.3">
      <c r="A59" s="271" t="s">
        <v>587</v>
      </c>
      <c r="B59" s="271"/>
      <c r="C59" s="271"/>
      <c r="D59" s="271"/>
      <c r="E59" s="126">
        <f>SUM(E51:E58)</f>
        <v>0.36800000000000005</v>
      </c>
      <c r="F59" s="119">
        <f>TRUNC((SUM(F51:F58)),2)</f>
        <v>778.46</v>
      </c>
    </row>
    <row r="60" spans="1:6" x14ac:dyDescent="0.3">
      <c r="A60" s="253" t="s">
        <v>588</v>
      </c>
      <c r="B60" s="253"/>
      <c r="C60" s="253"/>
      <c r="D60" s="253"/>
      <c r="E60" s="253"/>
      <c r="F60" s="253"/>
    </row>
    <row r="61" spans="1:6" x14ac:dyDescent="0.3">
      <c r="A61" s="64" t="s">
        <v>589</v>
      </c>
      <c r="B61" s="253" t="s">
        <v>590</v>
      </c>
      <c r="C61" s="253"/>
      <c r="D61" s="253"/>
      <c r="E61" s="253"/>
      <c r="F61" s="253"/>
    </row>
    <row r="62" spans="1:6" x14ac:dyDescent="0.3">
      <c r="A62" s="272" t="s">
        <v>552</v>
      </c>
      <c r="B62" s="110" t="s">
        <v>591</v>
      </c>
      <c r="C62" s="110" t="s">
        <v>592</v>
      </c>
      <c r="D62" s="110" t="s">
        <v>593</v>
      </c>
      <c r="E62" s="110" t="s">
        <v>594</v>
      </c>
      <c r="F62" s="117" t="s">
        <v>551</v>
      </c>
    </row>
    <row r="63" spans="1:6" x14ac:dyDescent="0.3">
      <c r="A63" s="272"/>
      <c r="B63" s="113">
        <f>'Salários.VA.VT.QteDias.LDI.T'!H20</f>
        <v>4.5</v>
      </c>
      <c r="C63" s="110">
        <v>2</v>
      </c>
      <c r="D63" s="110">
        <f>'Salários.VA.VT.QteDias.LDI.T'!H41</f>
        <v>8</v>
      </c>
      <c r="E63" s="113">
        <f>TRUNC(($F$34*6%),2)</f>
        <v>114.24</v>
      </c>
      <c r="F63" s="118">
        <f>TRUNC(IF(E63&gt;=72,0,((B63*C63*D63)-E63)),2)</f>
        <v>0</v>
      </c>
    </row>
    <row r="64" spans="1:6" x14ac:dyDescent="0.3">
      <c r="A64" s="286" t="s">
        <v>554</v>
      </c>
      <c r="B64" s="286" t="s">
        <v>595</v>
      </c>
      <c r="C64" s="286"/>
      <c r="D64" s="127" t="s">
        <v>593</v>
      </c>
      <c r="E64" s="127" t="s">
        <v>594</v>
      </c>
      <c r="F64" s="115" t="s">
        <v>551</v>
      </c>
    </row>
    <row r="65" spans="1:6" x14ac:dyDescent="0.3">
      <c r="A65" s="286"/>
      <c r="B65" s="287">
        <f>'Salários.VA.VT.QteDias.LDI.T'!E20</f>
        <v>26.7</v>
      </c>
      <c r="C65" s="287"/>
      <c r="D65" s="127">
        <f>'Salários.VA.VT.QteDias.LDI.T'!H41</f>
        <v>8</v>
      </c>
      <c r="E65" s="128">
        <f>TRUNC(0.1*(B65*D65),2)</f>
        <v>21.36</v>
      </c>
      <c r="F65" s="116">
        <f>TRUNC(((B65*D65)-E65),2)</f>
        <v>192.24</v>
      </c>
    </row>
    <row r="66" spans="1:6" x14ac:dyDescent="0.3">
      <c r="A66" s="272" t="s">
        <v>556</v>
      </c>
      <c r="B66" s="283" t="s">
        <v>596</v>
      </c>
      <c r="C66" s="283"/>
      <c r="D66" s="283"/>
      <c r="E66" s="283"/>
      <c r="F66" s="117" t="s">
        <v>551</v>
      </c>
    </row>
    <row r="67" spans="1:6" x14ac:dyDescent="0.3">
      <c r="A67" s="272"/>
      <c r="B67" s="283"/>
      <c r="C67" s="283"/>
      <c r="D67" s="283"/>
      <c r="E67" s="283"/>
      <c r="F67" s="205">
        <v>6</v>
      </c>
    </row>
    <row r="68" spans="1:6" x14ac:dyDescent="0.3">
      <c r="A68" s="286" t="s">
        <v>558</v>
      </c>
      <c r="B68" s="282" t="s">
        <v>597</v>
      </c>
      <c r="C68" s="282"/>
      <c r="D68" s="282"/>
      <c r="E68" s="282"/>
      <c r="F68" s="115" t="s">
        <v>551</v>
      </c>
    </row>
    <row r="69" spans="1:6" x14ac:dyDescent="0.3">
      <c r="A69" s="286"/>
      <c r="B69" s="282"/>
      <c r="C69" s="282"/>
      <c r="D69" s="282"/>
      <c r="E69" s="282"/>
      <c r="F69" s="206">
        <v>19.899999999999999</v>
      </c>
    </row>
    <row r="70" spans="1:6" x14ac:dyDescent="0.3">
      <c r="A70" s="272" t="s">
        <v>560</v>
      </c>
      <c r="B70" s="283" t="s">
        <v>565</v>
      </c>
      <c r="C70" s="283"/>
      <c r="D70" s="283"/>
      <c r="E70" s="283"/>
      <c r="F70" s="117" t="s">
        <v>551</v>
      </c>
    </row>
    <row r="71" spans="1:6" x14ac:dyDescent="0.3">
      <c r="A71" s="272"/>
      <c r="B71" s="283"/>
      <c r="C71" s="283"/>
      <c r="D71" s="283"/>
      <c r="E71" s="283"/>
      <c r="F71" s="205">
        <v>0</v>
      </c>
    </row>
    <row r="72" spans="1:6" x14ac:dyDescent="0.3">
      <c r="A72" s="271" t="s">
        <v>598</v>
      </c>
      <c r="B72" s="271"/>
      <c r="C72" s="271"/>
      <c r="D72" s="271"/>
      <c r="E72" s="271"/>
      <c r="F72" s="119">
        <f>TRUNC(SUM(F63,F65,F67,F69,F71),2)</f>
        <v>218.14</v>
      </c>
    </row>
    <row r="73" spans="1:6" x14ac:dyDescent="0.3">
      <c r="A73" s="253" t="s">
        <v>599</v>
      </c>
      <c r="B73" s="253"/>
      <c r="C73" s="253"/>
      <c r="D73" s="253"/>
      <c r="E73" s="253"/>
      <c r="F73" s="253"/>
    </row>
    <row r="74" spans="1:6" x14ac:dyDescent="0.3">
      <c r="A74" s="110" t="s">
        <v>600</v>
      </c>
      <c r="B74" s="288" t="s">
        <v>601</v>
      </c>
      <c r="C74" s="288"/>
      <c r="D74" s="288"/>
      <c r="E74" s="288"/>
      <c r="F74" s="110" t="s">
        <v>551</v>
      </c>
    </row>
    <row r="75" spans="1:6" x14ac:dyDescent="0.3">
      <c r="A75" s="127" t="s">
        <v>569</v>
      </c>
      <c r="B75" s="289" t="s">
        <v>602</v>
      </c>
      <c r="C75" s="289"/>
      <c r="D75" s="289"/>
      <c r="E75" s="289"/>
      <c r="F75" s="128">
        <f>$F$48</f>
        <v>211.46</v>
      </c>
    </row>
    <row r="76" spans="1:6" x14ac:dyDescent="0.3">
      <c r="A76" s="110" t="s">
        <v>576</v>
      </c>
      <c r="B76" s="288" t="s">
        <v>603</v>
      </c>
      <c r="C76" s="288"/>
      <c r="D76" s="288"/>
      <c r="E76" s="288"/>
      <c r="F76" s="113">
        <f>$F$59</f>
        <v>778.46</v>
      </c>
    </row>
    <row r="77" spans="1:6" x14ac:dyDescent="0.3">
      <c r="A77" s="127" t="s">
        <v>589</v>
      </c>
      <c r="B77" s="289" t="s">
        <v>590</v>
      </c>
      <c r="C77" s="289"/>
      <c r="D77" s="289"/>
      <c r="E77" s="289"/>
      <c r="F77" s="128">
        <f>$F$72</f>
        <v>218.14</v>
      </c>
    </row>
    <row r="78" spans="1:6" x14ac:dyDescent="0.3">
      <c r="A78" s="271" t="s">
        <v>604</v>
      </c>
      <c r="B78" s="271"/>
      <c r="C78" s="271"/>
      <c r="D78" s="271"/>
      <c r="E78" s="271"/>
      <c r="F78" s="119">
        <f>TRUNC(SUM(F75:F77),2)</f>
        <v>1208.06</v>
      </c>
    </row>
    <row r="79" spans="1:6" x14ac:dyDescent="0.3">
      <c r="A79" s="270"/>
      <c r="B79" s="270"/>
      <c r="C79" s="270"/>
      <c r="D79" s="270"/>
      <c r="E79" s="270"/>
      <c r="F79" s="270"/>
    </row>
    <row r="80" spans="1:6" x14ac:dyDescent="0.3">
      <c r="A80" s="310" t="s">
        <v>605</v>
      </c>
      <c r="B80" s="310"/>
      <c r="C80" s="310"/>
      <c r="D80" s="310"/>
      <c r="E80" s="310"/>
      <c r="F80" s="310"/>
    </row>
    <row r="81" spans="1:6" x14ac:dyDescent="0.3">
      <c r="A81" s="110">
        <v>3</v>
      </c>
      <c r="B81" s="285" t="s">
        <v>606</v>
      </c>
      <c r="C81" s="285"/>
      <c r="D81" s="285"/>
      <c r="E81" s="114" t="s">
        <v>571</v>
      </c>
      <c r="F81" s="114" t="s">
        <v>551</v>
      </c>
    </row>
    <row r="82" spans="1:6" x14ac:dyDescent="0.3">
      <c r="A82" s="115" t="s">
        <v>552</v>
      </c>
      <c r="B82" s="282" t="s">
        <v>607</v>
      </c>
      <c r="C82" s="282"/>
      <c r="D82" s="282"/>
      <c r="E82" s="207">
        <f>(56.24%)*5.55%*(1/12)</f>
        <v>2.6010999999999999E-3</v>
      </c>
      <c r="F82" s="116">
        <f>TRUNC((($F$41+$F$48)*E82),2)</f>
        <v>5.5</v>
      </c>
    </row>
    <row r="83" spans="1:6" x14ac:dyDescent="0.3">
      <c r="A83" s="117" t="s">
        <v>554</v>
      </c>
      <c r="B83" s="283" t="s">
        <v>608</v>
      </c>
      <c r="C83" s="283"/>
      <c r="D83" s="283"/>
      <c r="E83" s="208">
        <f>(8%*0.29%)</f>
        <v>2.32E-4</v>
      </c>
      <c r="F83" s="129">
        <f>TRUNC((($F$41+$F$48)*E83),2)</f>
        <v>0.49</v>
      </c>
    </row>
    <row r="84" spans="1:6" ht="16.5" customHeight="1" x14ac:dyDescent="0.3">
      <c r="A84" s="115" t="s">
        <v>556</v>
      </c>
      <c r="B84" s="290" t="s">
        <v>609</v>
      </c>
      <c r="C84" s="290"/>
      <c r="D84" s="290"/>
      <c r="E84" s="207">
        <f>(56.24%)*5.55%*40%*8%</f>
        <v>9.9882240000000004E-4</v>
      </c>
      <c r="F84" s="116">
        <f>TRUNC((($F$41+$F$48)*E84),2)</f>
        <v>2.11</v>
      </c>
    </row>
    <row r="85" spans="1:6" x14ac:dyDescent="0.3">
      <c r="A85" s="117" t="s">
        <v>558</v>
      </c>
      <c r="B85" s="283" t="s">
        <v>610</v>
      </c>
      <c r="C85" s="283"/>
      <c r="D85" s="283"/>
      <c r="E85" s="208">
        <f>((56.24%)*94.45%*(7/30)/12)</f>
        <v>1.0328632222222222E-2</v>
      </c>
      <c r="F85" s="129">
        <f>TRUNC((($F$41+$F$48)*E85),2)</f>
        <v>21.84</v>
      </c>
    </row>
    <row r="86" spans="1:6" x14ac:dyDescent="0.3">
      <c r="A86" s="116" t="s">
        <v>560</v>
      </c>
      <c r="B86" s="291" t="s">
        <v>611</v>
      </c>
      <c r="C86" s="291"/>
      <c r="D86" s="291"/>
      <c r="E86" s="207">
        <f>1.03%*36.8%</f>
        <v>3.7904000000000002E-3</v>
      </c>
      <c r="F86" s="116">
        <f>TRUNC((($F$41+$F$48)*E86),2)</f>
        <v>8.01</v>
      </c>
    </row>
    <row r="87" spans="1:6" x14ac:dyDescent="0.3">
      <c r="A87" s="117" t="s">
        <v>562</v>
      </c>
      <c r="B87" s="283" t="s">
        <v>612</v>
      </c>
      <c r="C87" s="283"/>
      <c r="D87" s="283"/>
      <c r="E87" s="208">
        <f>(56.24%)*94.45%*40%*8%</f>
        <v>1.6997977600000002E-2</v>
      </c>
      <c r="F87" s="129">
        <f>TRUNC((($F$41+F48)*E87),2)</f>
        <v>35.950000000000003</v>
      </c>
    </row>
    <row r="88" spans="1:6" x14ac:dyDescent="0.3">
      <c r="A88" s="271" t="s">
        <v>613</v>
      </c>
      <c r="B88" s="271"/>
      <c r="C88" s="271"/>
      <c r="D88" s="271"/>
      <c r="E88" s="167">
        <f>SUM(E82:E87)</f>
        <v>3.4948932222222229E-2</v>
      </c>
      <c r="F88" s="168">
        <f>TRUNC(SUM(F82:F87),2)</f>
        <v>73.900000000000006</v>
      </c>
    </row>
    <row r="89" spans="1:6" x14ac:dyDescent="0.3">
      <c r="A89" s="270"/>
      <c r="B89" s="270"/>
      <c r="C89" s="270"/>
      <c r="D89" s="270"/>
      <c r="E89" s="270"/>
      <c r="F89" s="270"/>
    </row>
    <row r="90" spans="1:6" x14ac:dyDescent="0.3">
      <c r="A90" s="271" t="s">
        <v>614</v>
      </c>
      <c r="B90" s="271"/>
      <c r="C90" s="271"/>
      <c r="D90" s="271"/>
      <c r="E90" s="271"/>
      <c r="F90" s="271"/>
    </row>
    <row r="91" spans="1:6" x14ac:dyDescent="0.3">
      <c r="A91" s="253" t="s">
        <v>615</v>
      </c>
      <c r="B91" s="253"/>
      <c r="C91" s="253"/>
      <c r="D91" s="253"/>
      <c r="E91" s="253"/>
      <c r="F91" s="253"/>
    </row>
    <row r="92" spans="1:6" x14ac:dyDescent="0.3">
      <c r="A92" s="110" t="s">
        <v>616</v>
      </c>
      <c r="B92" s="285" t="s">
        <v>617</v>
      </c>
      <c r="C92" s="285"/>
      <c r="D92" s="285"/>
      <c r="E92" s="114" t="s">
        <v>571</v>
      </c>
      <c r="F92" s="114" t="s">
        <v>551</v>
      </c>
    </row>
    <row r="93" spans="1:6" x14ac:dyDescent="0.3">
      <c r="A93" s="115" t="s">
        <v>552</v>
      </c>
      <c r="B93" s="282" t="s">
        <v>678</v>
      </c>
      <c r="C93" s="282"/>
      <c r="D93" s="282"/>
      <c r="E93" s="123"/>
      <c r="F93" s="130">
        <f t="shared" ref="F93:F98" si="1">TRUNC((($F$41+$F$78)*E93),2)</f>
        <v>0</v>
      </c>
    </row>
    <row r="94" spans="1:6" x14ac:dyDescent="0.3">
      <c r="A94" s="117" t="s">
        <v>554</v>
      </c>
      <c r="B94" s="283" t="s">
        <v>679</v>
      </c>
      <c r="C94" s="283"/>
      <c r="D94" s="283"/>
      <c r="E94" s="208">
        <f>(8/30)/12</f>
        <v>2.2222222222222223E-2</v>
      </c>
      <c r="F94" s="129">
        <f t="shared" si="1"/>
        <v>69.150000000000006</v>
      </c>
    </row>
    <row r="95" spans="1:6" x14ac:dyDescent="0.3">
      <c r="A95" s="115" t="s">
        <v>556</v>
      </c>
      <c r="B95" s="282" t="s">
        <v>680</v>
      </c>
      <c r="C95" s="282"/>
      <c r="D95" s="282"/>
      <c r="E95" s="207">
        <f>(((20/30)/12)*1.416%*45.22%)</f>
        <v>3.557306666666666E-4</v>
      </c>
      <c r="F95" s="130">
        <f t="shared" si="1"/>
        <v>1.1000000000000001</v>
      </c>
    </row>
    <row r="96" spans="1:6" x14ac:dyDescent="0.3">
      <c r="A96" s="117" t="s">
        <v>558</v>
      </c>
      <c r="B96" s="283" t="s">
        <v>681</v>
      </c>
      <c r="C96" s="283"/>
      <c r="D96" s="283"/>
      <c r="E96" s="208">
        <f>((15/30)/12)*0.44%</f>
        <v>1.8333333333333334E-4</v>
      </c>
      <c r="F96" s="129">
        <f t="shared" si="1"/>
        <v>0.56999999999999995</v>
      </c>
    </row>
    <row r="97" spans="1:6" x14ac:dyDescent="0.3">
      <c r="A97" s="115" t="s">
        <v>560</v>
      </c>
      <c r="B97" s="282" t="s">
        <v>682</v>
      </c>
      <c r="C97" s="282"/>
      <c r="D97" s="282"/>
      <c r="E97" s="207">
        <f>(((180/30)/12*1.416%*54.78%*36.8%))</f>
        <v>1.4272600319999999E-3</v>
      </c>
      <c r="F97" s="130">
        <f t="shared" si="1"/>
        <v>4.4400000000000004</v>
      </c>
    </row>
    <row r="98" spans="1:6" x14ac:dyDescent="0.3">
      <c r="A98" s="117" t="s">
        <v>562</v>
      </c>
      <c r="B98" s="283" t="s">
        <v>683</v>
      </c>
      <c r="C98" s="283"/>
      <c r="D98" s="283"/>
      <c r="E98" s="208">
        <v>0</v>
      </c>
      <c r="F98" s="129">
        <f t="shared" si="1"/>
        <v>0</v>
      </c>
    </row>
    <row r="99" spans="1:6" x14ac:dyDescent="0.3">
      <c r="A99" s="271" t="s">
        <v>624</v>
      </c>
      <c r="B99" s="271"/>
      <c r="C99" s="271"/>
      <c r="D99" s="271"/>
      <c r="E99" s="126">
        <f>SUM(E93:E98)</f>
        <v>2.4188546254222225E-2</v>
      </c>
      <c r="F99" s="119">
        <f>TRUNC(SUM(F93:F98),2)</f>
        <v>75.260000000000005</v>
      </c>
    </row>
    <row r="100" spans="1:6" x14ac:dyDescent="0.3">
      <c r="A100" s="253" t="s">
        <v>625</v>
      </c>
      <c r="B100" s="253"/>
      <c r="C100" s="253"/>
      <c r="D100" s="253"/>
      <c r="E100" s="253"/>
      <c r="F100" s="253"/>
    </row>
    <row r="101" spans="1:6" x14ac:dyDescent="0.3">
      <c r="A101" s="110" t="s">
        <v>626</v>
      </c>
      <c r="B101" s="285" t="s">
        <v>627</v>
      </c>
      <c r="C101" s="285"/>
      <c r="D101" s="285"/>
      <c r="E101" s="114" t="s">
        <v>571</v>
      </c>
      <c r="F101" s="114" t="s">
        <v>551</v>
      </c>
    </row>
    <row r="102" spans="1:6" x14ac:dyDescent="0.3">
      <c r="A102" s="115" t="s">
        <v>552</v>
      </c>
      <c r="B102" s="282" t="s">
        <v>684</v>
      </c>
      <c r="C102" s="282"/>
      <c r="D102" s="282"/>
      <c r="E102" s="131" t="s">
        <v>629</v>
      </c>
      <c r="F102" s="116">
        <v>0</v>
      </c>
    </row>
    <row r="103" spans="1:6" x14ac:dyDescent="0.3">
      <c r="A103" s="253" t="s">
        <v>630</v>
      </c>
      <c r="B103" s="253"/>
      <c r="C103" s="253"/>
      <c r="D103" s="253"/>
      <c r="E103" s="253"/>
      <c r="F103" s="253"/>
    </row>
    <row r="104" spans="1:6" x14ac:dyDescent="0.3">
      <c r="A104" s="110" t="s">
        <v>631</v>
      </c>
      <c r="B104" s="285" t="s">
        <v>632</v>
      </c>
      <c r="C104" s="285"/>
      <c r="D104" s="285"/>
      <c r="E104" s="285"/>
      <c r="F104" s="114" t="s">
        <v>551</v>
      </c>
    </row>
    <row r="105" spans="1:6" x14ac:dyDescent="0.3">
      <c r="A105" s="127" t="s">
        <v>616</v>
      </c>
      <c r="B105" s="293" t="s">
        <v>617</v>
      </c>
      <c r="C105" s="293"/>
      <c r="D105" s="293"/>
      <c r="E105" s="293"/>
      <c r="F105" s="128">
        <f>$F$99</f>
        <v>75.260000000000005</v>
      </c>
    </row>
    <row r="106" spans="1:6" x14ac:dyDescent="0.3">
      <c r="A106" s="110" t="s">
        <v>626</v>
      </c>
      <c r="B106" s="285" t="s">
        <v>627</v>
      </c>
      <c r="C106" s="285"/>
      <c r="D106" s="285"/>
      <c r="E106" s="285"/>
      <c r="F106" s="113">
        <v>0</v>
      </c>
    </row>
    <row r="107" spans="1:6" x14ac:dyDescent="0.3">
      <c r="A107" s="271" t="s">
        <v>633</v>
      </c>
      <c r="B107" s="271"/>
      <c r="C107" s="271"/>
      <c r="D107" s="271"/>
      <c r="E107" s="271"/>
      <c r="F107" s="119">
        <f>TRUNC(SUM(F105+F106),2)</f>
        <v>75.260000000000005</v>
      </c>
    </row>
    <row r="108" spans="1:6" x14ac:dyDescent="0.3">
      <c r="A108" s="270"/>
      <c r="B108" s="270"/>
      <c r="C108" s="270"/>
      <c r="D108" s="270"/>
      <c r="E108" s="270"/>
      <c r="F108" s="270"/>
    </row>
    <row r="109" spans="1:6" x14ac:dyDescent="0.3">
      <c r="A109" s="271" t="s">
        <v>634</v>
      </c>
      <c r="B109" s="271"/>
      <c r="C109" s="271"/>
      <c r="D109" s="271"/>
      <c r="E109" s="271"/>
      <c r="F109" s="271"/>
    </row>
    <row r="110" spans="1:6" x14ac:dyDescent="0.3">
      <c r="A110" s="110">
        <v>5</v>
      </c>
      <c r="B110" s="285" t="s">
        <v>635</v>
      </c>
      <c r="C110" s="285"/>
      <c r="D110" s="285"/>
      <c r="E110" s="285"/>
      <c r="F110" s="114" t="s">
        <v>551</v>
      </c>
    </row>
    <row r="111" spans="1:6" x14ac:dyDescent="0.3">
      <c r="A111" s="127" t="s">
        <v>552</v>
      </c>
      <c r="B111" s="293" t="s">
        <v>21</v>
      </c>
      <c r="C111" s="293"/>
      <c r="D111" s="293"/>
      <c r="E111" s="293"/>
      <c r="F111" s="128">
        <f>Unif!I164</f>
        <v>96.38666666666667</v>
      </c>
    </row>
    <row r="112" spans="1:6" x14ac:dyDescent="0.3">
      <c r="A112" s="110" t="s">
        <v>554</v>
      </c>
      <c r="B112" s="285" t="s">
        <v>636</v>
      </c>
      <c r="C112" s="285"/>
      <c r="D112" s="285"/>
      <c r="E112" s="285"/>
      <c r="F112" s="113">
        <f>FJ!E24</f>
        <v>68.489999999999995</v>
      </c>
    </row>
    <row r="113" spans="1:8" x14ac:dyDescent="0.3">
      <c r="A113" s="127" t="s">
        <v>556</v>
      </c>
      <c r="B113" s="293" t="s">
        <v>673</v>
      </c>
      <c r="C113" s="293"/>
      <c r="D113" s="293"/>
      <c r="E113" s="293"/>
      <c r="F113" s="128">
        <f>MP!P28</f>
        <v>114.19</v>
      </c>
    </row>
    <row r="114" spans="1:8" x14ac:dyDescent="0.3">
      <c r="A114" s="110" t="s">
        <v>558</v>
      </c>
      <c r="B114" s="285" t="s">
        <v>638</v>
      </c>
      <c r="C114" s="285"/>
      <c r="D114" s="285"/>
      <c r="E114" s="285"/>
      <c r="F114" s="113">
        <f>'EPI´s - J'!E12</f>
        <v>80.77</v>
      </c>
      <c r="H114" s="169"/>
    </row>
    <row r="115" spans="1:8" x14ac:dyDescent="0.3">
      <c r="A115" s="271" t="s">
        <v>639</v>
      </c>
      <c r="B115" s="271"/>
      <c r="C115" s="271"/>
      <c r="D115" s="271"/>
      <c r="E115" s="271"/>
      <c r="F115" s="119">
        <f>SUM(F111:F114)</f>
        <v>359.83666666666664</v>
      </c>
    </row>
    <row r="116" spans="1:8" x14ac:dyDescent="0.3">
      <c r="A116" s="270"/>
      <c r="B116" s="270"/>
      <c r="C116" s="270"/>
      <c r="D116" s="270"/>
      <c r="E116" s="270"/>
      <c r="F116" s="270"/>
    </row>
    <row r="117" spans="1:8" x14ac:dyDescent="0.3">
      <c r="A117" s="271" t="s">
        <v>640</v>
      </c>
      <c r="B117" s="271"/>
      <c r="C117" s="271"/>
      <c r="D117" s="271"/>
      <c r="E117" s="271"/>
      <c r="F117" s="271"/>
    </row>
    <row r="118" spans="1:8" x14ac:dyDescent="0.3">
      <c r="A118" s="272" t="s">
        <v>641</v>
      </c>
      <c r="B118" s="272"/>
      <c r="C118" s="272"/>
      <c r="D118" s="272"/>
      <c r="E118" s="114" t="s">
        <v>571</v>
      </c>
      <c r="F118" s="157" t="s">
        <v>551</v>
      </c>
    </row>
    <row r="119" spans="1:8" x14ac:dyDescent="0.3">
      <c r="A119" s="127" t="s">
        <v>552</v>
      </c>
      <c r="B119" s="293" t="s">
        <v>642</v>
      </c>
      <c r="C119" s="293"/>
      <c r="D119" s="293"/>
      <c r="E119" s="154">
        <f>'Salários.VA.VT.QteDias.LDI.T'!$G$46</f>
        <v>4.7300000000000002E-2</v>
      </c>
      <c r="F119" s="116">
        <f>TRUNC(($F$134*$E$119),2)</f>
        <v>171.27</v>
      </c>
    </row>
    <row r="120" spans="1:8" x14ac:dyDescent="0.3">
      <c r="A120" s="110" t="s">
        <v>554</v>
      </c>
      <c r="B120" s="285" t="s">
        <v>643</v>
      </c>
      <c r="C120" s="285"/>
      <c r="D120" s="285"/>
      <c r="E120" s="133">
        <f>'Salários.VA.VT.QteDias.LDI.T'!$G$47</f>
        <v>5.57E-2</v>
      </c>
      <c r="F120" s="118">
        <f>TRUNC((($F$134+$F$119)*E120),2)</f>
        <v>211.23</v>
      </c>
    </row>
    <row r="121" spans="1:8" x14ac:dyDescent="0.3">
      <c r="A121" s="274" t="s">
        <v>644</v>
      </c>
      <c r="B121" s="274"/>
      <c r="C121" s="274"/>
      <c r="D121" s="274"/>
      <c r="E121" s="71" t="s">
        <v>571</v>
      </c>
      <c r="F121" s="134" t="s">
        <v>551</v>
      </c>
    </row>
    <row r="122" spans="1:8" x14ac:dyDescent="0.3">
      <c r="A122" s="110" t="s">
        <v>552</v>
      </c>
      <c r="B122" s="285" t="s">
        <v>93</v>
      </c>
      <c r="C122" s="285"/>
      <c r="D122" s="285"/>
      <c r="E122" s="209">
        <v>6.4999999999999997E-3</v>
      </c>
      <c r="F122" s="118">
        <f>TRUNC(((($F$134+$F$119+$F$120)/0.9135)*E122),2)</f>
        <v>28.48</v>
      </c>
    </row>
    <row r="123" spans="1:8" x14ac:dyDescent="0.3">
      <c r="A123" s="68" t="s">
        <v>554</v>
      </c>
      <c r="B123" s="294" t="s">
        <v>645</v>
      </c>
      <c r="C123" s="294"/>
      <c r="D123" s="294"/>
      <c r="E123" s="210">
        <v>0.03</v>
      </c>
      <c r="F123" s="135">
        <f>TRUNC(((($F$134+$F$119+$F$120)/0.9135)*E123),2)</f>
        <v>131.47</v>
      </c>
    </row>
    <row r="124" spans="1:8" x14ac:dyDescent="0.3">
      <c r="A124" s="110" t="s">
        <v>556</v>
      </c>
      <c r="B124" s="285" t="s">
        <v>95</v>
      </c>
      <c r="C124" s="285"/>
      <c r="D124" s="285"/>
      <c r="E124" s="209">
        <v>0.05</v>
      </c>
      <c r="F124" s="118">
        <f>TRUNC(((($F$134+$F$119+$F$120)/0.9135)*E124),2)</f>
        <v>219.13</v>
      </c>
    </row>
    <row r="125" spans="1:8" x14ac:dyDescent="0.3">
      <c r="A125" s="271" t="s">
        <v>646</v>
      </c>
      <c r="B125" s="271"/>
      <c r="C125" s="271"/>
      <c r="D125" s="271"/>
      <c r="E125" s="126">
        <f>SUM(E122:E124)</f>
        <v>8.6499999999999994E-2</v>
      </c>
      <c r="F125" s="119">
        <f>TRUNC(SUM($F$119,$F$120,$F$122,$F$123,$F$124),2)</f>
        <v>761.58</v>
      </c>
    </row>
    <row r="126" spans="1:8" x14ac:dyDescent="0.3">
      <c r="A126" s="270"/>
      <c r="B126" s="270"/>
      <c r="C126" s="270"/>
      <c r="D126" s="270"/>
      <c r="E126" s="270"/>
      <c r="F126" s="270"/>
    </row>
    <row r="127" spans="1:8" x14ac:dyDescent="0.3">
      <c r="A127" s="271" t="s">
        <v>647</v>
      </c>
      <c r="B127" s="271"/>
      <c r="C127" s="271"/>
      <c r="D127" s="271"/>
      <c r="E127" s="271"/>
      <c r="F127" s="271"/>
    </row>
    <row r="128" spans="1:8" x14ac:dyDescent="0.3">
      <c r="A128" s="253" t="s">
        <v>648</v>
      </c>
      <c r="B128" s="253"/>
      <c r="C128" s="253"/>
      <c r="D128" s="253"/>
      <c r="E128" s="253"/>
      <c r="F128" s="40" t="s">
        <v>551</v>
      </c>
    </row>
    <row r="129" spans="1:6" x14ac:dyDescent="0.3">
      <c r="A129" s="110" t="s">
        <v>552</v>
      </c>
      <c r="B129" s="285" t="s">
        <v>649</v>
      </c>
      <c r="C129" s="285"/>
      <c r="D129" s="285"/>
      <c r="E129" s="285"/>
      <c r="F129" s="113">
        <f>$F$41</f>
        <v>1904</v>
      </c>
    </row>
    <row r="130" spans="1:6" x14ac:dyDescent="0.3">
      <c r="A130" s="127" t="s">
        <v>554</v>
      </c>
      <c r="B130" s="293" t="s">
        <v>650</v>
      </c>
      <c r="C130" s="293"/>
      <c r="D130" s="293"/>
      <c r="E130" s="293"/>
      <c r="F130" s="128">
        <f>$F$78</f>
        <v>1208.06</v>
      </c>
    </row>
    <row r="131" spans="1:6" x14ac:dyDescent="0.3">
      <c r="A131" s="110" t="s">
        <v>556</v>
      </c>
      <c r="B131" s="285" t="s">
        <v>651</v>
      </c>
      <c r="C131" s="285"/>
      <c r="D131" s="285"/>
      <c r="E131" s="285"/>
      <c r="F131" s="113">
        <f>$F$88</f>
        <v>73.900000000000006</v>
      </c>
    </row>
    <row r="132" spans="1:6" x14ac:dyDescent="0.3">
      <c r="A132" s="127" t="s">
        <v>558</v>
      </c>
      <c r="B132" s="293" t="s">
        <v>652</v>
      </c>
      <c r="C132" s="293"/>
      <c r="D132" s="293"/>
      <c r="E132" s="293"/>
      <c r="F132" s="128">
        <f>$F$107</f>
        <v>75.260000000000005</v>
      </c>
    </row>
    <row r="133" spans="1:6" x14ac:dyDescent="0.3">
      <c r="A133" s="110" t="s">
        <v>560</v>
      </c>
      <c r="B133" s="285" t="s">
        <v>653</v>
      </c>
      <c r="C133" s="285"/>
      <c r="D133" s="285"/>
      <c r="E133" s="285"/>
      <c r="F133" s="113">
        <f>$F$115</f>
        <v>359.83666666666664</v>
      </c>
    </row>
    <row r="134" spans="1:6" x14ac:dyDescent="0.3">
      <c r="A134" s="286" t="s">
        <v>654</v>
      </c>
      <c r="B134" s="286"/>
      <c r="C134" s="286"/>
      <c r="D134" s="286"/>
      <c r="E134" s="286"/>
      <c r="F134" s="128">
        <f>TRUNC(SUM(F129:F133),2)</f>
        <v>3621.05</v>
      </c>
    </row>
    <row r="135" spans="1:6" x14ac:dyDescent="0.3">
      <c r="A135" s="110" t="s">
        <v>562</v>
      </c>
      <c r="B135" s="281" t="s">
        <v>655</v>
      </c>
      <c r="C135" s="281"/>
      <c r="D135" s="281"/>
      <c r="E135" s="281"/>
      <c r="F135" s="113">
        <f>TRUNC(($F$125),2)</f>
        <v>761.58</v>
      </c>
    </row>
    <row r="136" spans="1:6" ht="16.5" customHeight="1" x14ac:dyDescent="0.3">
      <c r="A136" s="286" t="s">
        <v>656</v>
      </c>
      <c r="B136" s="286"/>
      <c r="C136" s="286"/>
      <c r="D136" s="286"/>
      <c r="E136" s="286"/>
      <c r="F136" s="128">
        <f>TRUNC(($F$134 + $F$135),2)</f>
        <v>4382.63</v>
      </c>
    </row>
    <row r="137" spans="1:6" ht="16.5" customHeight="1" x14ac:dyDescent="0.3">
      <c r="A137" s="270"/>
      <c r="B137" s="270"/>
      <c r="C137" s="270"/>
      <c r="D137" s="270"/>
      <c r="E137" s="270"/>
      <c r="F137" s="270"/>
    </row>
    <row r="138" spans="1:6" ht="16.5" customHeight="1" x14ac:dyDescent="0.3">
      <c r="A138" s="223" t="s">
        <v>657</v>
      </c>
      <c r="B138" s="223"/>
      <c r="C138" s="223"/>
      <c r="D138" s="223"/>
      <c r="E138" s="223"/>
      <c r="F138" s="223"/>
    </row>
    <row r="139" spans="1:6" ht="20.399999999999999" x14ac:dyDescent="0.3">
      <c r="A139" s="136" t="s">
        <v>658</v>
      </c>
      <c r="B139" s="111" t="s">
        <v>659</v>
      </c>
      <c r="C139" s="111" t="s">
        <v>321</v>
      </c>
      <c r="D139" s="111" t="s">
        <v>661</v>
      </c>
      <c r="E139" s="111" t="s">
        <v>662</v>
      </c>
      <c r="F139" s="111" t="s">
        <v>112</v>
      </c>
    </row>
    <row r="140" spans="1:6" x14ac:dyDescent="0.3">
      <c r="A140" s="137" t="str">
        <f>$C$26</f>
        <v>Jardineiro(a)</v>
      </c>
      <c r="B140" s="138">
        <f>$F$136</f>
        <v>4382.63</v>
      </c>
      <c r="C140" s="137">
        <f>$C$22</f>
        <v>1</v>
      </c>
      <c r="D140" s="137">
        <f>$C$18</f>
        <v>12</v>
      </c>
      <c r="E140" s="138">
        <f>TRUNC(($B$140 * $C$140),2)</f>
        <v>4382.63</v>
      </c>
      <c r="F140" s="170">
        <f>TRUNC(($D$140 * $E$140),2)</f>
        <v>52591.56</v>
      </c>
    </row>
    <row r="141" spans="1:6" x14ac:dyDescent="0.3">
      <c r="A141" s="51"/>
      <c r="B141" s="51"/>
      <c r="C141" s="51"/>
      <c r="D141" s="51"/>
      <c r="E141" s="51"/>
      <c r="F141" s="51"/>
    </row>
    <row r="142" spans="1:6" ht="15.75" customHeight="1" x14ac:dyDescent="0.3">
      <c r="A142" s="51"/>
      <c r="B142" s="51"/>
      <c r="C142" s="51"/>
      <c r="D142" s="51"/>
      <c r="E142" s="226" t="s">
        <v>685</v>
      </c>
      <c r="F142" s="226" t="s">
        <v>686</v>
      </c>
    </row>
    <row r="143" spans="1:6" x14ac:dyDescent="0.3">
      <c r="A143" s="51"/>
      <c r="B143" s="51"/>
      <c r="C143" s="51"/>
      <c r="D143" s="51"/>
      <c r="E143" s="226"/>
      <c r="F143" s="226"/>
    </row>
    <row r="144" spans="1:6" x14ac:dyDescent="0.3">
      <c r="A144" s="51"/>
      <c r="B144" s="51"/>
      <c r="C144" s="51"/>
      <c r="D144" s="51"/>
      <c r="E144" s="234">
        <f>TRUNC((E140/30),2)</f>
        <v>146.08000000000001</v>
      </c>
      <c r="F144" s="234">
        <f>E144*8*12</f>
        <v>14023.68</v>
      </c>
    </row>
    <row r="145" spans="1:6" x14ac:dyDescent="0.3">
      <c r="A145" s="51"/>
      <c r="B145" s="51"/>
      <c r="C145" s="51"/>
      <c r="D145" s="51"/>
      <c r="E145" s="234"/>
      <c r="F145" s="234"/>
    </row>
    <row r="146" spans="1:6" x14ac:dyDescent="0.3">
      <c r="A146" s="32"/>
      <c r="B146" s="32"/>
      <c r="C146" s="32"/>
      <c r="D146" s="32"/>
      <c r="E146" s="32"/>
      <c r="F146" s="32"/>
    </row>
    <row r="147" spans="1:6" x14ac:dyDescent="0.3">
      <c r="A147" s="32"/>
      <c r="B147" s="32"/>
      <c r="C147" s="32"/>
      <c r="D147" s="32"/>
      <c r="E147" s="32"/>
      <c r="F147" s="32"/>
    </row>
    <row r="148" spans="1:6" x14ac:dyDescent="0.3">
      <c r="A148" s="32"/>
      <c r="B148" s="32"/>
      <c r="C148" s="32"/>
      <c r="D148" s="32"/>
      <c r="E148" s="32"/>
      <c r="F148" s="32"/>
    </row>
  </sheetData>
  <sheetProtection sheet="1" objects="1" scenarios="1"/>
  <protectedRanges>
    <protectedRange sqref="E122:E124" name="Intervalo6"/>
    <protectedRange sqref="E82:E87" name="Intervalo4"/>
    <protectedRange sqref="F35:F40 C28:F28 C30:F30" name="Intervalo2"/>
    <protectedRange sqref="C10:F10 C13:F13 C15:F15 C16:F16 C17:F17" name="Intervalo1"/>
    <protectedRange sqref="E53 F67 F69 F71" name="Intervalo3"/>
    <protectedRange sqref="E94:E98" name="Intervalo5"/>
  </protectedRanges>
  <mergeCells count="150">
    <mergeCell ref="E144:E145"/>
    <mergeCell ref="F144:F145"/>
    <mergeCell ref="B131:E131"/>
    <mergeCell ref="B132:E132"/>
    <mergeCell ref="B133:E133"/>
    <mergeCell ref="A134:E134"/>
    <mergeCell ref="B135:E135"/>
    <mergeCell ref="A136:E136"/>
    <mergeCell ref="A137:F137"/>
    <mergeCell ref="A138:F138"/>
    <mergeCell ref="E142:E143"/>
    <mergeCell ref="F142:F143"/>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900-000000000000}"/>
    <hyperlink ref="C27" r:id="rId2" xr:uid="{00000000-0004-0000-1900-000001000000}"/>
  </hyperlinks>
  <pageMargins left="0.7" right="0.7" top="0.75" bottom="0.75" header="0.511811023622047" footer="0.511811023622047"/>
  <pageSetup paperSize="9" orientation="portrait" horizontalDpi="300" verticalDpi="30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2"/>
  <sheetViews>
    <sheetView zoomScaleNormal="100" workbookViewId="0">
      <selection sqref="A1:C1"/>
    </sheetView>
  </sheetViews>
  <sheetFormatPr defaultColWidth="8.6640625" defaultRowHeight="14.4" x14ac:dyDescent="0.3"/>
  <cols>
    <col min="2" max="2" width="40.5546875" customWidth="1"/>
    <col min="3" max="3" width="109.44140625" customWidth="1"/>
  </cols>
  <sheetData>
    <row r="1" spans="1:3" x14ac:dyDescent="0.3">
      <c r="A1" s="235" t="s">
        <v>0</v>
      </c>
      <c r="B1" s="235"/>
      <c r="C1" s="235"/>
    </row>
    <row r="2" spans="1:3" x14ac:dyDescent="0.3">
      <c r="A2" s="7" t="s">
        <v>1</v>
      </c>
      <c r="B2" s="8" t="s">
        <v>2</v>
      </c>
      <c r="C2" s="9" t="s">
        <v>3</v>
      </c>
    </row>
    <row r="3" spans="1:3" x14ac:dyDescent="0.3">
      <c r="A3" s="7">
        <f t="shared" ref="A3:A29" si="0">ROW()-2</f>
        <v>1</v>
      </c>
      <c r="B3" s="8" t="s">
        <v>4</v>
      </c>
      <c r="C3" s="9" t="s">
        <v>5</v>
      </c>
    </row>
    <row r="4" spans="1:3" x14ac:dyDescent="0.3">
      <c r="A4" s="7">
        <f t="shared" si="0"/>
        <v>2</v>
      </c>
      <c r="B4" s="8" t="s">
        <v>6</v>
      </c>
      <c r="C4" s="9" t="s">
        <v>7</v>
      </c>
    </row>
    <row r="5" spans="1:3" x14ac:dyDescent="0.3">
      <c r="A5" s="7">
        <f t="shared" si="0"/>
        <v>3</v>
      </c>
      <c r="B5" s="10" t="s">
        <v>8</v>
      </c>
      <c r="C5" s="11" t="s">
        <v>9</v>
      </c>
    </row>
    <row r="6" spans="1:3" x14ac:dyDescent="0.3">
      <c r="A6" s="7">
        <f t="shared" si="0"/>
        <v>4</v>
      </c>
      <c r="B6" s="8" t="s">
        <v>10</v>
      </c>
      <c r="C6" s="9" t="s">
        <v>11</v>
      </c>
    </row>
    <row r="7" spans="1:3" x14ac:dyDescent="0.3">
      <c r="A7" s="7">
        <f t="shared" si="0"/>
        <v>5</v>
      </c>
      <c r="B7" s="8" t="s">
        <v>12</v>
      </c>
      <c r="C7" s="9" t="s">
        <v>13</v>
      </c>
    </row>
    <row r="8" spans="1:3" x14ac:dyDescent="0.3">
      <c r="A8" s="7">
        <f t="shared" si="0"/>
        <v>6</v>
      </c>
      <c r="B8" s="8" t="s">
        <v>14</v>
      </c>
      <c r="C8" s="9" t="s">
        <v>15</v>
      </c>
    </row>
    <row r="9" spans="1:3" x14ac:dyDescent="0.3">
      <c r="A9" s="7">
        <f t="shared" si="0"/>
        <v>7</v>
      </c>
      <c r="B9" s="8" t="s">
        <v>16</v>
      </c>
      <c r="C9" s="9" t="s">
        <v>17</v>
      </c>
    </row>
    <row r="10" spans="1:3" x14ac:dyDescent="0.3">
      <c r="A10" s="7">
        <f t="shared" si="0"/>
        <v>8</v>
      </c>
      <c r="B10" s="8" t="s">
        <v>18</v>
      </c>
      <c r="C10" s="9" t="s">
        <v>19</v>
      </c>
    </row>
    <row r="11" spans="1:3" x14ac:dyDescent="0.3">
      <c r="A11" s="7">
        <f t="shared" si="0"/>
        <v>9</v>
      </c>
      <c r="B11" s="8" t="s">
        <v>20</v>
      </c>
      <c r="C11" s="9" t="s">
        <v>21</v>
      </c>
    </row>
    <row r="12" spans="1:3" x14ac:dyDescent="0.3">
      <c r="A12" s="7">
        <f t="shared" si="0"/>
        <v>10</v>
      </c>
      <c r="B12" s="8" t="s">
        <v>22</v>
      </c>
      <c r="C12" s="9" t="s">
        <v>23</v>
      </c>
    </row>
    <row r="13" spans="1:3" x14ac:dyDescent="0.3">
      <c r="A13" s="7">
        <f t="shared" si="0"/>
        <v>11</v>
      </c>
      <c r="B13" s="8" t="s">
        <v>24</v>
      </c>
      <c r="C13" s="9" t="s">
        <v>25</v>
      </c>
    </row>
    <row r="14" spans="1:3" x14ac:dyDescent="0.3">
      <c r="A14" s="7">
        <f t="shared" si="0"/>
        <v>12</v>
      </c>
      <c r="B14" s="8" t="s">
        <v>26</v>
      </c>
      <c r="C14" s="9" t="s">
        <v>27</v>
      </c>
    </row>
    <row r="15" spans="1:3" x14ac:dyDescent="0.3">
      <c r="A15" s="7">
        <f t="shared" si="0"/>
        <v>13</v>
      </c>
      <c r="B15" s="8" t="s">
        <v>28</v>
      </c>
      <c r="C15" s="9" t="s">
        <v>29</v>
      </c>
    </row>
    <row r="16" spans="1:3" x14ac:dyDescent="0.3">
      <c r="A16" s="7">
        <f t="shared" si="0"/>
        <v>14</v>
      </c>
      <c r="B16" s="8" t="s">
        <v>30</v>
      </c>
      <c r="C16" s="9" t="s">
        <v>31</v>
      </c>
    </row>
    <row r="17" spans="1:3" x14ac:dyDescent="0.3">
      <c r="A17" s="7">
        <f t="shared" si="0"/>
        <v>15</v>
      </c>
      <c r="B17" s="8" t="s">
        <v>32</v>
      </c>
      <c r="C17" s="9" t="s">
        <v>33</v>
      </c>
    </row>
    <row r="18" spans="1:3" x14ac:dyDescent="0.3">
      <c r="A18" s="7">
        <f t="shared" si="0"/>
        <v>16</v>
      </c>
      <c r="B18" s="8" t="s">
        <v>34</v>
      </c>
      <c r="C18" s="9" t="s">
        <v>35</v>
      </c>
    </row>
    <row r="19" spans="1:3" x14ac:dyDescent="0.3">
      <c r="A19" s="7">
        <f t="shared" si="0"/>
        <v>17</v>
      </c>
      <c r="B19" s="8" t="s">
        <v>36</v>
      </c>
      <c r="C19" s="9" t="s">
        <v>37</v>
      </c>
    </row>
    <row r="20" spans="1:3" x14ac:dyDescent="0.3">
      <c r="A20" s="7">
        <f t="shared" si="0"/>
        <v>18</v>
      </c>
      <c r="B20" s="8" t="s">
        <v>38</v>
      </c>
      <c r="C20" s="9" t="s">
        <v>39</v>
      </c>
    </row>
    <row r="21" spans="1:3" x14ac:dyDescent="0.3">
      <c r="A21" s="7">
        <f t="shared" si="0"/>
        <v>19</v>
      </c>
      <c r="B21" s="8" t="s">
        <v>40</v>
      </c>
      <c r="C21" s="9" t="s">
        <v>41</v>
      </c>
    </row>
    <row r="22" spans="1:3" x14ac:dyDescent="0.3">
      <c r="A22" s="7">
        <f t="shared" si="0"/>
        <v>20</v>
      </c>
      <c r="B22" s="8" t="s">
        <v>42</v>
      </c>
      <c r="C22" s="9" t="s">
        <v>43</v>
      </c>
    </row>
    <row r="23" spans="1:3" x14ac:dyDescent="0.3">
      <c r="A23" s="7">
        <f t="shared" si="0"/>
        <v>21</v>
      </c>
      <c r="B23" s="8" t="s">
        <v>44</v>
      </c>
      <c r="C23" s="9" t="s">
        <v>45</v>
      </c>
    </row>
    <row r="24" spans="1:3" x14ac:dyDescent="0.3">
      <c r="A24" s="7">
        <f t="shared" si="0"/>
        <v>22</v>
      </c>
      <c r="B24" s="8" t="s">
        <v>46</v>
      </c>
      <c r="C24" s="9" t="s">
        <v>47</v>
      </c>
    </row>
    <row r="25" spans="1:3" x14ac:dyDescent="0.3">
      <c r="A25" s="7">
        <f t="shared" si="0"/>
        <v>23</v>
      </c>
      <c r="B25" s="8" t="s">
        <v>48</v>
      </c>
      <c r="C25" s="9" t="s">
        <v>49</v>
      </c>
    </row>
    <row r="26" spans="1:3" x14ac:dyDescent="0.3">
      <c r="A26" s="7">
        <f t="shared" si="0"/>
        <v>24</v>
      </c>
      <c r="B26" s="8" t="s">
        <v>50</v>
      </c>
      <c r="C26" s="9" t="s">
        <v>51</v>
      </c>
    </row>
    <row r="27" spans="1:3" x14ac:dyDescent="0.3">
      <c r="A27" s="7">
        <f t="shared" si="0"/>
        <v>25</v>
      </c>
      <c r="B27" s="8" t="s">
        <v>52</v>
      </c>
      <c r="C27" s="9" t="s">
        <v>53</v>
      </c>
    </row>
    <row r="28" spans="1:3" x14ac:dyDescent="0.3">
      <c r="A28" s="7">
        <f t="shared" si="0"/>
        <v>26</v>
      </c>
      <c r="B28" s="8" t="s">
        <v>54</v>
      </c>
      <c r="C28" s="9" t="s">
        <v>55</v>
      </c>
    </row>
    <row r="29" spans="1:3" x14ac:dyDescent="0.3">
      <c r="A29" s="7">
        <f t="shared" si="0"/>
        <v>27</v>
      </c>
      <c r="B29" s="8"/>
      <c r="C29" s="9"/>
    </row>
    <row r="32" spans="1:3" x14ac:dyDescent="0.3">
      <c r="C32" s="12"/>
    </row>
  </sheetData>
  <mergeCells count="1">
    <mergeCell ref="A1:C1"/>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zoomScaleNormal="100" workbookViewId="0">
      <selection sqref="A1:B1"/>
    </sheetView>
  </sheetViews>
  <sheetFormatPr defaultColWidth="8.6640625" defaultRowHeight="14.4" x14ac:dyDescent="0.3"/>
  <cols>
    <col min="2" max="2" width="46.109375" customWidth="1"/>
  </cols>
  <sheetData>
    <row r="1" spans="1:2" x14ac:dyDescent="0.3">
      <c r="A1" s="236" t="s">
        <v>56</v>
      </c>
      <c r="B1" s="236"/>
    </row>
    <row r="2" spans="1:2" x14ac:dyDescent="0.3">
      <c r="A2" s="13">
        <f t="shared" ref="A2:A17" si="0">ROW()-1</f>
        <v>1</v>
      </c>
      <c r="B2" s="14" t="s">
        <v>39</v>
      </c>
    </row>
    <row r="3" spans="1:2" x14ac:dyDescent="0.3">
      <c r="A3" s="13">
        <f t="shared" si="0"/>
        <v>2</v>
      </c>
      <c r="B3" s="14" t="s">
        <v>41</v>
      </c>
    </row>
    <row r="4" spans="1:2" x14ac:dyDescent="0.3">
      <c r="A4" s="13">
        <f t="shared" si="0"/>
        <v>3</v>
      </c>
      <c r="B4" s="14" t="s">
        <v>43</v>
      </c>
    </row>
    <row r="5" spans="1:2" x14ac:dyDescent="0.3">
      <c r="A5" s="13">
        <f t="shared" si="0"/>
        <v>4</v>
      </c>
      <c r="B5" s="14" t="s">
        <v>45</v>
      </c>
    </row>
    <row r="6" spans="1:2" x14ac:dyDescent="0.3">
      <c r="A6" s="13">
        <f t="shared" si="0"/>
        <v>5</v>
      </c>
      <c r="B6" s="14" t="s">
        <v>57</v>
      </c>
    </row>
    <row r="7" spans="1:2" x14ac:dyDescent="0.3">
      <c r="A7" s="13">
        <f t="shared" si="0"/>
        <v>6</v>
      </c>
      <c r="B7" s="14" t="s">
        <v>58</v>
      </c>
    </row>
    <row r="8" spans="1:2" x14ac:dyDescent="0.3">
      <c r="A8" s="13">
        <f t="shared" si="0"/>
        <v>7</v>
      </c>
      <c r="B8" s="14" t="s">
        <v>49</v>
      </c>
    </row>
    <row r="9" spans="1:2" x14ac:dyDescent="0.3">
      <c r="A9" s="13">
        <f t="shared" si="0"/>
        <v>8</v>
      </c>
      <c r="B9" s="14" t="s">
        <v>59</v>
      </c>
    </row>
    <row r="10" spans="1:2" x14ac:dyDescent="0.3">
      <c r="A10" s="13">
        <f t="shared" si="0"/>
        <v>9</v>
      </c>
      <c r="B10" s="14" t="s">
        <v>51</v>
      </c>
    </row>
    <row r="11" spans="1:2" x14ac:dyDescent="0.3">
      <c r="A11" s="13">
        <f t="shared" si="0"/>
        <v>10</v>
      </c>
      <c r="B11" s="14" t="s">
        <v>60</v>
      </c>
    </row>
    <row r="12" spans="1:2" x14ac:dyDescent="0.3">
      <c r="A12" s="13">
        <f t="shared" si="0"/>
        <v>11</v>
      </c>
      <c r="B12" s="14" t="s">
        <v>61</v>
      </c>
    </row>
    <row r="13" spans="1:2" x14ac:dyDescent="0.3">
      <c r="A13" s="13">
        <f t="shared" si="0"/>
        <v>12</v>
      </c>
      <c r="B13" s="14" t="s">
        <v>62</v>
      </c>
    </row>
    <row r="14" spans="1:2" x14ac:dyDescent="0.3">
      <c r="A14" s="13">
        <f t="shared" si="0"/>
        <v>13</v>
      </c>
      <c r="B14" s="14" t="s">
        <v>63</v>
      </c>
    </row>
    <row r="15" spans="1:2" x14ac:dyDescent="0.3">
      <c r="A15" s="13">
        <f t="shared" si="0"/>
        <v>14</v>
      </c>
      <c r="B15" s="14" t="s">
        <v>64</v>
      </c>
    </row>
    <row r="16" spans="1:2" x14ac:dyDescent="0.3">
      <c r="A16" s="13">
        <f t="shared" si="0"/>
        <v>15</v>
      </c>
      <c r="B16" s="14" t="s">
        <v>65</v>
      </c>
    </row>
    <row r="17" spans="1:2" x14ac:dyDescent="0.3">
      <c r="A17" s="13">
        <f t="shared" si="0"/>
        <v>16</v>
      </c>
      <c r="B17" s="14" t="s">
        <v>53</v>
      </c>
    </row>
    <row r="18" spans="1:2" x14ac:dyDescent="0.3">
      <c r="A18" s="13">
        <v>18</v>
      </c>
      <c r="B18" s="14" t="s">
        <v>66</v>
      </c>
    </row>
    <row r="19" spans="1:2" x14ac:dyDescent="0.3">
      <c r="B19" s="15"/>
    </row>
  </sheetData>
  <mergeCells count="1">
    <mergeCell ref="A1:B1"/>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6"/>
  <sheetViews>
    <sheetView zoomScale="90" zoomScaleNormal="90" workbookViewId="0">
      <selection activeCell="G46" sqref="G46:G47"/>
    </sheetView>
  </sheetViews>
  <sheetFormatPr defaultColWidth="8.6640625" defaultRowHeight="14.4" x14ac:dyDescent="0.3"/>
  <cols>
    <col min="1" max="1" width="18.109375" customWidth="1"/>
    <col min="2" max="2" width="15.33203125" customWidth="1"/>
    <col min="3" max="3" width="18.88671875" customWidth="1"/>
    <col min="4" max="4" width="19.33203125" customWidth="1"/>
    <col min="5" max="5" width="22.88671875" customWidth="1"/>
    <col min="6" max="6" width="22.44140625" customWidth="1"/>
    <col min="7" max="7" width="17.88671875" customWidth="1"/>
    <col min="8" max="8" width="12" customWidth="1"/>
    <col min="9" max="9" width="15.44140625" customWidth="1"/>
    <col min="10" max="10" width="13" customWidth="1"/>
    <col min="11" max="11" width="18.88671875" customWidth="1"/>
  </cols>
  <sheetData>
    <row r="1" spans="1:11" ht="15" customHeight="1" x14ac:dyDescent="0.3">
      <c r="A1" s="237" t="s">
        <v>67</v>
      </c>
      <c r="B1" s="237"/>
      <c r="C1" s="237"/>
      <c r="D1" s="237"/>
      <c r="E1" s="237"/>
      <c r="F1" s="237"/>
      <c r="G1" s="237"/>
      <c r="H1" s="237"/>
      <c r="I1" s="237"/>
      <c r="J1" s="237"/>
      <c r="K1" s="237"/>
    </row>
    <row r="2" spans="1:11" ht="33" customHeight="1" x14ac:dyDescent="0.3">
      <c r="A2" s="238" t="s">
        <v>68</v>
      </c>
      <c r="B2" s="238"/>
      <c r="C2" s="6" t="s">
        <v>39</v>
      </c>
      <c r="D2" s="6" t="s">
        <v>41</v>
      </c>
      <c r="E2" s="6" t="s">
        <v>43</v>
      </c>
      <c r="F2" s="6" t="s">
        <v>45</v>
      </c>
      <c r="G2" s="6" t="s">
        <v>58</v>
      </c>
      <c r="H2" s="6" t="s">
        <v>49</v>
      </c>
      <c r="I2" s="6" t="s">
        <v>51</v>
      </c>
      <c r="J2" s="6" t="s">
        <v>53</v>
      </c>
      <c r="K2" s="6" t="s">
        <v>55</v>
      </c>
    </row>
    <row r="3" spans="1:11" x14ac:dyDescent="0.3">
      <c r="A3" s="6" t="s">
        <v>69</v>
      </c>
      <c r="B3" s="6" t="s">
        <v>70</v>
      </c>
      <c r="C3" s="16">
        <f>TRUNC((1983.35),2)</f>
        <v>1983.35</v>
      </c>
      <c r="D3" s="4">
        <f>TRUNC((2371.327),2)</f>
        <v>2371.3200000000002</v>
      </c>
      <c r="E3" s="4">
        <f>TRUNC((3022.11),2)</f>
        <v>3022.11</v>
      </c>
      <c r="F3" s="4">
        <f>TRUNC((3928.82),2)</f>
        <v>3928.82</v>
      </c>
      <c r="G3" s="17">
        <f>TRUNC((2148.78),2)</f>
        <v>2148.7800000000002</v>
      </c>
      <c r="H3" s="4">
        <f>TRUNC((1586.86),2)</f>
        <v>1586.86</v>
      </c>
      <c r="I3" s="4">
        <f>TRUNC((1904),2)</f>
        <v>1904</v>
      </c>
      <c r="J3" s="4">
        <f>TRUNC((1983.35),2)</f>
        <v>1983.35</v>
      </c>
      <c r="K3" s="4">
        <f>TRUNC((1586.86),2)</f>
        <v>1586.86</v>
      </c>
    </row>
    <row r="4" spans="1:11" x14ac:dyDescent="0.3">
      <c r="A4" s="2" t="s">
        <v>69</v>
      </c>
      <c r="B4" s="2" t="s">
        <v>71</v>
      </c>
      <c r="C4" s="2"/>
      <c r="D4" s="2"/>
      <c r="E4" s="2"/>
      <c r="F4" s="2"/>
      <c r="G4" s="18"/>
      <c r="H4" s="2"/>
      <c r="I4" s="2"/>
      <c r="J4" s="2"/>
      <c r="K4" s="2"/>
    </row>
    <row r="5" spans="1:11" x14ac:dyDescent="0.3">
      <c r="A5" s="2" t="s">
        <v>69</v>
      </c>
      <c r="B5" s="2" t="s">
        <v>72</v>
      </c>
      <c r="C5" s="19"/>
      <c r="D5" s="2"/>
      <c r="E5" s="2"/>
      <c r="F5" s="2"/>
      <c r="G5" s="2"/>
      <c r="H5" s="2"/>
      <c r="I5" s="2"/>
      <c r="J5" s="2"/>
      <c r="K5" s="2"/>
    </row>
    <row r="6" spans="1:11" x14ac:dyDescent="0.3">
      <c r="A6" s="2" t="s">
        <v>69</v>
      </c>
      <c r="B6" s="2" t="s">
        <v>73</v>
      </c>
      <c r="C6" s="2"/>
      <c r="D6" s="2"/>
      <c r="E6" s="2"/>
      <c r="F6" s="20"/>
      <c r="G6" s="2"/>
      <c r="H6" s="2"/>
      <c r="I6" s="2"/>
      <c r="J6" s="2"/>
      <c r="K6" s="2"/>
    </row>
    <row r="7" spans="1:11" x14ac:dyDescent="0.3">
      <c r="A7" s="2" t="s">
        <v>69</v>
      </c>
      <c r="B7" s="2" t="s">
        <v>74</v>
      </c>
      <c r="C7" s="2"/>
      <c r="D7" s="2"/>
      <c r="E7" s="2"/>
      <c r="F7" s="2"/>
      <c r="G7" s="2"/>
      <c r="H7" s="2"/>
      <c r="I7" s="2"/>
      <c r="J7" s="2"/>
      <c r="K7" s="2"/>
    </row>
    <row r="8" spans="1:11" x14ac:dyDescent="0.3">
      <c r="A8" s="2" t="s">
        <v>69</v>
      </c>
      <c r="B8" s="2" t="s">
        <v>75</v>
      </c>
      <c r="C8" s="2"/>
      <c r="D8" s="2"/>
      <c r="E8" s="2"/>
      <c r="F8" s="2"/>
      <c r="G8" s="2"/>
      <c r="H8" s="2"/>
      <c r="I8" s="2"/>
      <c r="J8" s="2"/>
      <c r="K8" s="2"/>
    </row>
    <row r="9" spans="1:11" x14ac:dyDescent="0.3">
      <c r="A9" s="2" t="s">
        <v>69</v>
      </c>
      <c r="B9" s="2" t="s">
        <v>76</v>
      </c>
      <c r="C9" s="2"/>
      <c r="D9" s="2"/>
      <c r="E9" s="2"/>
      <c r="F9" s="2"/>
      <c r="G9" s="2"/>
      <c r="H9" s="2"/>
      <c r="I9" s="2"/>
      <c r="J9" s="2"/>
      <c r="K9" s="2"/>
    </row>
    <row r="10" spans="1:11" x14ac:dyDescent="0.3">
      <c r="A10" s="2" t="s">
        <v>69</v>
      </c>
      <c r="B10" s="2" t="s">
        <v>77</v>
      </c>
      <c r="C10" s="2"/>
      <c r="D10" s="2"/>
      <c r="E10" s="2"/>
      <c r="F10" s="2"/>
      <c r="G10" s="2"/>
      <c r="H10" s="2"/>
      <c r="I10" s="2"/>
      <c r="J10" s="2"/>
      <c r="K10" s="2"/>
    </row>
    <row r="11" spans="1:11" x14ac:dyDescent="0.3">
      <c r="A11" s="2" t="s">
        <v>69</v>
      </c>
      <c r="B11" s="2" t="s">
        <v>78</v>
      </c>
      <c r="C11" s="2"/>
      <c r="D11" s="2"/>
      <c r="E11" s="2"/>
      <c r="F11" s="2"/>
      <c r="G11" s="2"/>
      <c r="H11" s="2"/>
      <c r="I11" s="2"/>
      <c r="J11" s="2"/>
      <c r="K11" s="2"/>
    </row>
    <row r="12" spans="1:11" x14ac:dyDescent="0.3">
      <c r="A12" s="2" t="s">
        <v>69</v>
      </c>
      <c r="B12" s="2" t="s">
        <v>79</v>
      </c>
      <c r="C12" s="2"/>
      <c r="D12" s="2"/>
      <c r="E12" s="2"/>
      <c r="F12" s="2"/>
      <c r="G12" s="2"/>
      <c r="H12" s="2"/>
      <c r="I12" s="2"/>
      <c r="J12" s="2"/>
      <c r="K12" s="2"/>
    </row>
    <row r="13" spans="1:11" x14ac:dyDescent="0.3">
      <c r="A13" s="21"/>
      <c r="B13" s="21"/>
      <c r="C13" s="21"/>
      <c r="D13" s="21"/>
      <c r="E13" s="21"/>
      <c r="F13" s="21"/>
      <c r="G13" s="21"/>
      <c r="H13" s="21"/>
      <c r="I13" s="21"/>
      <c r="J13" s="21"/>
      <c r="K13" s="21"/>
    </row>
    <row r="14" spans="1:11" x14ac:dyDescent="0.3">
      <c r="A14" s="21"/>
      <c r="B14" s="21"/>
      <c r="C14" s="21"/>
      <c r="D14" s="21"/>
      <c r="E14" s="21"/>
      <c r="F14" s="21"/>
      <c r="G14" s="21"/>
      <c r="H14" s="21"/>
      <c r="I14" s="21"/>
      <c r="J14" s="21"/>
      <c r="K14" s="21"/>
    </row>
    <row r="15" spans="1:11" x14ac:dyDescent="0.3">
      <c r="A15" s="21"/>
      <c r="B15" s="21"/>
      <c r="C15" s="21"/>
      <c r="D15" s="21"/>
      <c r="E15" s="21"/>
      <c r="F15" s="21"/>
      <c r="G15" s="21"/>
      <c r="H15" s="21"/>
      <c r="I15" s="21"/>
      <c r="J15" s="21"/>
      <c r="K15" s="21"/>
    </row>
    <row r="16" spans="1:11" x14ac:dyDescent="0.3">
      <c r="A16" s="21"/>
      <c r="B16" s="21"/>
      <c r="C16" s="21"/>
      <c r="D16" s="21"/>
      <c r="E16" s="21"/>
      <c r="F16" s="21"/>
      <c r="G16" s="21"/>
      <c r="H16" s="21"/>
      <c r="I16" s="21"/>
      <c r="J16" s="21"/>
      <c r="K16" s="21"/>
    </row>
    <row r="17" spans="1:11" x14ac:dyDescent="0.3">
      <c r="A17" s="21"/>
      <c r="B17" s="21"/>
      <c r="C17" s="21"/>
      <c r="D17" s="21"/>
      <c r="E17" s="21"/>
      <c r="F17" s="21"/>
      <c r="G17" s="21"/>
      <c r="H17" s="21"/>
      <c r="I17" s="21"/>
      <c r="J17" s="21"/>
      <c r="K17" s="21"/>
    </row>
    <row r="18" spans="1:11" x14ac:dyDescent="0.3">
      <c r="A18" s="21"/>
      <c r="B18" s="21"/>
      <c r="C18" s="21"/>
      <c r="D18" s="21"/>
      <c r="E18" s="21"/>
      <c r="F18" s="21"/>
      <c r="G18" s="21"/>
      <c r="H18" s="21"/>
      <c r="I18" s="21"/>
      <c r="J18" s="21"/>
      <c r="K18" s="21"/>
    </row>
    <row r="19" spans="1:11" ht="16.5" customHeight="1" x14ac:dyDescent="0.3">
      <c r="A19" s="5" t="s">
        <v>80</v>
      </c>
      <c r="B19" s="239" t="s">
        <v>81</v>
      </c>
      <c r="C19" s="239"/>
      <c r="D19" s="239"/>
      <c r="E19" s="240" t="s">
        <v>82</v>
      </c>
      <c r="F19" s="240"/>
      <c r="G19" s="240"/>
      <c r="H19" s="240" t="s">
        <v>83</v>
      </c>
      <c r="I19" s="240"/>
      <c r="J19" s="240"/>
      <c r="K19" s="21"/>
    </row>
    <row r="20" spans="1:11" x14ac:dyDescent="0.3">
      <c r="A20" s="3" t="s">
        <v>84</v>
      </c>
      <c r="B20" s="241">
        <v>25.5</v>
      </c>
      <c r="C20" s="241"/>
      <c r="D20" s="241"/>
      <c r="E20" s="242">
        <v>26.7</v>
      </c>
      <c r="F20" s="242"/>
      <c r="G20" s="242"/>
      <c r="H20" s="242">
        <v>4.5</v>
      </c>
      <c r="I20" s="242"/>
      <c r="J20" s="242"/>
      <c r="K20" s="21"/>
    </row>
    <row r="21" spans="1:11" x14ac:dyDescent="0.3">
      <c r="A21" s="3" t="s">
        <v>85</v>
      </c>
      <c r="B21" s="243"/>
      <c r="C21" s="243"/>
      <c r="D21" s="243"/>
      <c r="E21" s="244"/>
      <c r="F21" s="244"/>
      <c r="G21" s="244"/>
      <c r="H21" s="244"/>
      <c r="I21" s="244"/>
      <c r="J21" s="244"/>
      <c r="K21" s="21"/>
    </row>
    <row r="22" spans="1:11" x14ac:dyDescent="0.3">
      <c r="A22" s="3" t="s">
        <v>85</v>
      </c>
      <c r="B22" s="243"/>
      <c r="C22" s="243"/>
      <c r="D22" s="243"/>
      <c r="E22" s="244"/>
      <c r="F22" s="244"/>
      <c r="G22" s="244"/>
      <c r="H22" s="244"/>
      <c r="I22" s="244"/>
      <c r="J22" s="244"/>
      <c r="K22" s="21"/>
    </row>
    <row r="23" spans="1:11" x14ac:dyDescent="0.3">
      <c r="A23" s="3" t="s">
        <v>85</v>
      </c>
      <c r="B23" s="243"/>
      <c r="C23" s="243"/>
      <c r="D23" s="243"/>
      <c r="E23" s="244"/>
      <c r="F23" s="244"/>
      <c r="G23" s="244"/>
      <c r="H23" s="244"/>
      <c r="I23" s="244"/>
      <c r="J23" s="244"/>
      <c r="K23" s="21"/>
    </row>
    <row r="24" spans="1:11" x14ac:dyDescent="0.3">
      <c r="A24" s="3" t="s">
        <v>85</v>
      </c>
      <c r="B24" s="243"/>
      <c r="C24" s="243"/>
      <c r="D24" s="243"/>
      <c r="E24" s="244"/>
      <c r="F24" s="244"/>
      <c r="G24" s="244"/>
      <c r="H24" s="244"/>
      <c r="I24" s="244"/>
      <c r="J24" s="244"/>
      <c r="K24" s="21"/>
    </row>
    <row r="25" spans="1:11" x14ac:dyDescent="0.3">
      <c r="A25" s="3" t="s">
        <v>85</v>
      </c>
      <c r="B25" s="243"/>
      <c r="C25" s="243"/>
      <c r="D25" s="243"/>
      <c r="E25" s="244"/>
      <c r="F25" s="244"/>
      <c r="G25" s="244"/>
      <c r="H25" s="244"/>
      <c r="I25" s="244"/>
      <c r="J25" s="244"/>
      <c r="K25" s="21"/>
    </row>
    <row r="26" spans="1:11" x14ac:dyDescent="0.3">
      <c r="A26" s="3" t="s">
        <v>85</v>
      </c>
      <c r="B26" s="243"/>
      <c r="C26" s="243"/>
      <c r="D26" s="243"/>
      <c r="E26" s="244"/>
      <c r="F26" s="244"/>
      <c r="G26" s="244"/>
      <c r="H26" s="244"/>
      <c r="I26" s="244"/>
      <c r="J26" s="244"/>
      <c r="K26" s="21"/>
    </row>
    <row r="27" spans="1:11" x14ac:dyDescent="0.3">
      <c r="A27" s="3" t="s">
        <v>85</v>
      </c>
      <c r="B27" s="243"/>
      <c r="C27" s="243"/>
      <c r="D27" s="243"/>
      <c r="E27" s="244"/>
      <c r="F27" s="244"/>
      <c r="G27" s="244"/>
      <c r="H27" s="244"/>
      <c r="I27" s="244"/>
      <c r="J27" s="244"/>
      <c r="K27" s="21"/>
    </row>
    <row r="28" spans="1:11" x14ac:dyDescent="0.3">
      <c r="A28" s="3" t="s">
        <v>85</v>
      </c>
      <c r="B28" s="243"/>
      <c r="C28" s="243"/>
      <c r="D28" s="243"/>
      <c r="E28" s="244"/>
      <c r="F28" s="244"/>
      <c r="G28" s="244"/>
      <c r="H28" s="244"/>
      <c r="I28" s="244"/>
      <c r="J28" s="244"/>
      <c r="K28" s="21"/>
    </row>
    <row r="29" spans="1:11" x14ac:dyDescent="0.3">
      <c r="A29" s="3" t="s">
        <v>85</v>
      </c>
      <c r="B29" s="243"/>
      <c r="C29" s="243"/>
      <c r="D29" s="243"/>
      <c r="E29" s="244"/>
      <c r="F29" s="244"/>
      <c r="G29" s="244"/>
      <c r="H29" s="244"/>
      <c r="I29" s="244"/>
      <c r="J29" s="244"/>
      <c r="K29" s="21"/>
    </row>
    <row r="30" spans="1:11" x14ac:dyDescent="0.3">
      <c r="A30" s="3" t="s">
        <v>85</v>
      </c>
      <c r="B30" s="243"/>
      <c r="C30" s="243"/>
      <c r="D30" s="243"/>
      <c r="E30" s="244"/>
      <c r="F30" s="244"/>
      <c r="G30" s="244"/>
      <c r="H30" s="244"/>
      <c r="I30" s="244"/>
      <c r="J30" s="244"/>
      <c r="K30" s="21"/>
    </row>
    <row r="31" spans="1:11" x14ac:dyDescent="0.3">
      <c r="A31" s="3" t="s">
        <v>85</v>
      </c>
      <c r="B31" s="243"/>
      <c r="C31" s="243"/>
      <c r="D31" s="243"/>
      <c r="E31" s="244"/>
      <c r="F31" s="244"/>
      <c r="G31" s="244"/>
      <c r="H31" s="244"/>
      <c r="I31" s="244"/>
      <c r="J31" s="244"/>
      <c r="K31" s="21"/>
    </row>
    <row r="39" spans="2:10" ht="30" customHeight="1" x14ac:dyDescent="0.3">
      <c r="B39" s="239" t="s">
        <v>86</v>
      </c>
      <c r="C39" s="239"/>
      <c r="D39" s="239"/>
      <c r="E39" s="240" t="s">
        <v>87</v>
      </c>
      <c r="F39" s="240"/>
      <c r="G39" s="240"/>
      <c r="H39" s="240" t="s">
        <v>87</v>
      </c>
      <c r="I39" s="240"/>
      <c r="J39" s="240"/>
    </row>
    <row r="40" spans="2:10" x14ac:dyDescent="0.3">
      <c r="B40" s="245"/>
      <c r="C40" s="245"/>
      <c r="D40" s="245"/>
      <c r="E40" s="246"/>
      <c r="F40" s="246"/>
      <c r="G40" s="246"/>
      <c r="H40" s="246"/>
      <c r="I40" s="246"/>
      <c r="J40" s="246"/>
    </row>
    <row r="41" spans="2:10" x14ac:dyDescent="0.3">
      <c r="B41" s="245">
        <v>15</v>
      </c>
      <c r="C41" s="245"/>
      <c r="D41" s="245"/>
      <c r="E41" s="246">
        <v>21</v>
      </c>
      <c r="F41" s="246"/>
      <c r="G41" s="246"/>
      <c r="H41" s="246">
        <v>8</v>
      </c>
      <c r="I41" s="246"/>
      <c r="J41" s="246"/>
    </row>
    <row r="45" spans="2:10" ht="16.5" customHeight="1" x14ac:dyDescent="0.3">
      <c r="E45" s="247" t="s">
        <v>88</v>
      </c>
      <c r="F45" s="247"/>
      <c r="G45" s="247"/>
    </row>
    <row r="46" spans="2:10" ht="16.5" customHeight="1" x14ac:dyDescent="0.3">
      <c r="E46" s="245" t="s">
        <v>89</v>
      </c>
      <c r="F46" s="245"/>
      <c r="G46" s="216">
        <v>4.7300000000000002E-2</v>
      </c>
    </row>
    <row r="47" spans="2:10" ht="16.5" customHeight="1" x14ac:dyDescent="0.3">
      <c r="E47" s="245" t="s">
        <v>90</v>
      </c>
      <c r="F47" s="245"/>
      <c r="G47" s="216">
        <v>5.57E-2</v>
      </c>
    </row>
    <row r="48" spans="2:10" ht="16.5" customHeight="1" x14ac:dyDescent="0.3">
      <c r="E48" s="245" t="s">
        <v>91</v>
      </c>
      <c r="F48" s="245"/>
      <c r="G48" s="23">
        <f>SUM(G46:G47)</f>
        <v>0.10300000000000001</v>
      </c>
    </row>
    <row r="49" spans="5:7" x14ac:dyDescent="0.3">
      <c r="E49" s="24"/>
      <c r="F49" s="24"/>
    </row>
    <row r="50" spans="5:7" x14ac:dyDescent="0.3">
      <c r="E50" s="24"/>
      <c r="F50" s="24"/>
      <c r="G50" s="25"/>
    </row>
    <row r="51" spans="5:7" x14ac:dyDescent="0.3">
      <c r="F51" s="26"/>
      <c r="G51" s="26"/>
    </row>
    <row r="52" spans="5:7" ht="16.5" customHeight="1" x14ac:dyDescent="0.3">
      <c r="E52" s="247" t="s">
        <v>92</v>
      </c>
      <c r="F52" s="247"/>
      <c r="G52" s="247"/>
    </row>
    <row r="53" spans="5:7" ht="16.5" customHeight="1" x14ac:dyDescent="0.3">
      <c r="E53" s="245" t="s">
        <v>93</v>
      </c>
      <c r="F53" s="245"/>
      <c r="G53" s="22">
        <v>6.4999999999999997E-3</v>
      </c>
    </row>
    <row r="54" spans="5:7" ht="16.5" customHeight="1" x14ac:dyDescent="0.3">
      <c r="E54" s="245" t="s">
        <v>94</v>
      </c>
      <c r="F54" s="245"/>
      <c r="G54" s="22">
        <v>0.03</v>
      </c>
    </row>
    <row r="55" spans="5:7" ht="16.5" customHeight="1" x14ac:dyDescent="0.3">
      <c r="E55" s="245" t="s">
        <v>95</v>
      </c>
      <c r="F55" s="245"/>
      <c r="G55" s="22">
        <v>0.05</v>
      </c>
    </row>
    <row r="56" spans="5:7" ht="16.5" customHeight="1" x14ac:dyDescent="0.3">
      <c r="E56" s="245" t="s">
        <v>91</v>
      </c>
      <c r="F56" s="245"/>
      <c r="G56" s="23">
        <f>SUM(G53:G55)</f>
        <v>8.6499999999999994E-2</v>
      </c>
    </row>
  </sheetData>
  <mergeCells count="59">
    <mergeCell ref="E55:F55"/>
    <mergeCell ref="E56:F56"/>
    <mergeCell ref="E47:F47"/>
    <mergeCell ref="E48:F48"/>
    <mergeCell ref="E52:G52"/>
    <mergeCell ref="E53:F53"/>
    <mergeCell ref="E54:F54"/>
    <mergeCell ref="B41:D41"/>
    <mergeCell ref="E41:G41"/>
    <mergeCell ref="H41:J41"/>
    <mergeCell ref="E45:G45"/>
    <mergeCell ref="E46:F46"/>
    <mergeCell ref="B39:D39"/>
    <mergeCell ref="E39:G39"/>
    <mergeCell ref="H39:J39"/>
    <mergeCell ref="B40:D40"/>
    <mergeCell ref="E40:G40"/>
    <mergeCell ref="H40:J40"/>
    <mergeCell ref="B30:D30"/>
    <mergeCell ref="E30:G30"/>
    <mergeCell ref="H30:J30"/>
    <mergeCell ref="B31:D31"/>
    <mergeCell ref="E31:G31"/>
    <mergeCell ref="H31:J31"/>
    <mergeCell ref="B28:D28"/>
    <mergeCell ref="E28:G28"/>
    <mergeCell ref="H28:J28"/>
    <mergeCell ref="B29:D29"/>
    <mergeCell ref="E29:G29"/>
    <mergeCell ref="H29:J29"/>
    <mergeCell ref="B26:D26"/>
    <mergeCell ref="E26:G26"/>
    <mergeCell ref="H26:J26"/>
    <mergeCell ref="B27:D27"/>
    <mergeCell ref="E27:G27"/>
    <mergeCell ref="H27:J27"/>
    <mergeCell ref="B24:D24"/>
    <mergeCell ref="E24:G24"/>
    <mergeCell ref="H24:J24"/>
    <mergeCell ref="B25:D25"/>
    <mergeCell ref="E25:G25"/>
    <mergeCell ref="H25:J25"/>
    <mergeCell ref="B22:D22"/>
    <mergeCell ref="E22:G22"/>
    <mergeCell ref="H22:J22"/>
    <mergeCell ref="B23:D23"/>
    <mergeCell ref="E23:G23"/>
    <mergeCell ref="H23:J23"/>
    <mergeCell ref="B20:D20"/>
    <mergeCell ref="E20:G20"/>
    <mergeCell ref="H20:J20"/>
    <mergeCell ref="B21:D21"/>
    <mergeCell ref="E21:G21"/>
    <mergeCell ref="H21:J21"/>
    <mergeCell ref="A1:K1"/>
    <mergeCell ref="A2:B2"/>
    <mergeCell ref="B19:D19"/>
    <mergeCell ref="E19:G19"/>
    <mergeCell ref="H19:J19"/>
  </mergeCells>
  <pageMargins left="0.7" right="0.7" top="0.75" bottom="0.75" header="0.511811023622047" footer="0.511811023622047"/>
  <pageSetup paperSize="9" orientation="portrait" horizontalDpi="300" verticalDpi="30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
  <sheetViews>
    <sheetView zoomScale="80" zoomScaleNormal="80" workbookViewId="0">
      <selection activeCell="F3" sqref="F3"/>
    </sheetView>
  </sheetViews>
  <sheetFormatPr defaultColWidth="8.6640625" defaultRowHeight="14.4" x14ac:dyDescent="0.3"/>
  <cols>
    <col min="2" max="2" width="38.5546875" customWidth="1"/>
    <col min="3" max="3" width="20.109375" customWidth="1"/>
    <col min="4" max="4" width="21.44140625" customWidth="1"/>
    <col min="5" max="5" width="20.109375" customWidth="1"/>
    <col min="6" max="6" width="21" customWidth="1"/>
    <col min="7" max="9" width="19.5546875" customWidth="1"/>
    <col min="10" max="10" width="14.5546875" customWidth="1"/>
    <col min="11" max="11" width="17.5546875" customWidth="1"/>
  </cols>
  <sheetData>
    <row r="1" spans="1:11" x14ac:dyDescent="0.3">
      <c r="A1" s="236" t="s">
        <v>96</v>
      </c>
      <c r="B1" s="236"/>
      <c r="C1" s="236"/>
      <c r="D1" s="236"/>
      <c r="E1" s="236"/>
      <c r="F1" s="236"/>
      <c r="G1" s="236"/>
      <c r="H1" s="236"/>
      <c r="I1" s="236"/>
      <c r="J1" s="236"/>
      <c r="K1" s="236"/>
    </row>
    <row r="2" spans="1:11" ht="22.8" x14ac:dyDescent="0.3">
      <c r="A2" s="27" t="s">
        <v>1</v>
      </c>
      <c r="B2" s="28" t="s">
        <v>97</v>
      </c>
      <c r="C2" s="27" t="s">
        <v>98</v>
      </c>
      <c r="D2" s="27" t="s">
        <v>99</v>
      </c>
      <c r="E2" s="27" t="s">
        <v>100</v>
      </c>
      <c r="F2" s="27" t="s">
        <v>101</v>
      </c>
      <c r="G2" s="27" t="s">
        <v>102</v>
      </c>
      <c r="H2" s="27" t="s">
        <v>103</v>
      </c>
      <c r="I2" s="6" t="s">
        <v>104</v>
      </c>
      <c r="J2" s="27" t="s">
        <v>105</v>
      </c>
      <c r="K2" s="27" t="s">
        <v>106</v>
      </c>
    </row>
    <row r="3" spans="1:11" x14ac:dyDescent="0.3">
      <c r="A3" s="27">
        <v>1</v>
      </c>
      <c r="B3" s="28" t="s">
        <v>107</v>
      </c>
      <c r="C3" s="27" t="s">
        <v>108</v>
      </c>
      <c r="D3" s="29">
        <v>0.5</v>
      </c>
      <c r="E3" s="27">
        <v>6</v>
      </c>
      <c r="F3" s="193">
        <v>127</v>
      </c>
      <c r="G3" s="30">
        <f>TRUNC((F3*'Salários.VA.VT.QteDias.LDI.T'!G48),2)</f>
        <v>13.08</v>
      </c>
      <c r="H3" s="30">
        <f>TRUNC((((F3+G3)/(1-'Salários.VA.VT.QteDias.LDI.T'!G56))*'Salários.VA.VT.QteDias.LDI.T'!G56),2)</f>
        <v>13.26</v>
      </c>
      <c r="I3" s="30">
        <f>TRUNC((F3+G3+H3),2)</f>
        <v>153.34</v>
      </c>
      <c r="J3" s="30">
        <f>TRUNC((D3*I3),2)</f>
        <v>76.67</v>
      </c>
      <c r="K3" s="30">
        <f>TRUNC((E3*I3),2)</f>
        <v>920.04</v>
      </c>
    </row>
    <row r="4" spans="1:11" x14ac:dyDescent="0.3">
      <c r="A4" s="31"/>
      <c r="B4" s="31"/>
      <c r="C4" s="31"/>
      <c r="D4" s="31"/>
      <c r="E4" s="31"/>
      <c r="F4" s="31"/>
      <c r="G4" s="31"/>
      <c r="H4" s="31"/>
      <c r="I4" s="31"/>
      <c r="J4" s="31"/>
      <c r="K4" s="31"/>
    </row>
    <row r="5" spans="1:11" x14ac:dyDescent="0.3">
      <c r="A5" s="31"/>
      <c r="B5" s="31"/>
      <c r="C5" s="31"/>
      <c r="D5" s="31"/>
      <c r="E5" s="31"/>
      <c r="F5" s="31"/>
      <c r="G5" s="31"/>
      <c r="H5" s="31"/>
      <c r="I5" s="31"/>
      <c r="J5" s="31"/>
      <c r="K5" s="31"/>
    </row>
    <row r="6" spans="1:11" x14ac:dyDescent="0.3">
      <c r="A6" s="31"/>
      <c r="B6" s="31"/>
      <c r="C6" s="31"/>
      <c r="D6" s="31"/>
      <c r="E6" s="31"/>
      <c r="F6" s="31"/>
      <c r="G6" s="31"/>
      <c r="H6" s="31"/>
      <c r="I6" s="31"/>
      <c r="J6" s="31"/>
      <c r="K6" s="31"/>
    </row>
    <row r="7" spans="1:11" x14ac:dyDescent="0.3">
      <c r="A7" s="31"/>
      <c r="B7" s="31"/>
      <c r="C7" s="31"/>
      <c r="D7" s="31"/>
      <c r="E7" s="31"/>
      <c r="F7" s="31"/>
      <c r="G7" s="31"/>
      <c r="H7" s="31"/>
      <c r="I7" s="31"/>
      <c r="J7" s="31"/>
      <c r="K7" s="31"/>
    </row>
    <row r="8" spans="1:11" x14ac:dyDescent="0.3">
      <c r="A8" s="31"/>
      <c r="B8" s="31"/>
      <c r="C8" s="31"/>
      <c r="D8" s="31"/>
      <c r="E8" s="31"/>
      <c r="F8" s="31"/>
      <c r="G8" s="31"/>
      <c r="H8" s="31"/>
      <c r="I8" s="31"/>
      <c r="J8" s="31"/>
      <c r="K8" s="31"/>
    </row>
    <row r="9" spans="1:11" x14ac:dyDescent="0.3">
      <c r="A9" s="32"/>
      <c r="B9" s="32"/>
      <c r="C9" s="32"/>
      <c r="D9" s="32"/>
      <c r="E9" s="32"/>
      <c r="F9" s="32"/>
      <c r="G9" s="32"/>
      <c r="H9" s="32"/>
      <c r="I9" s="32"/>
      <c r="J9" s="32"/>
      <c r="K9" s="32"/>
    </row>
  </sheetData>
  <sheetProtection sheet="1" objects="1" scenarios="1"/>
  <protectedRanges>
    <protectedRange sqref="F3" name="Intervalo1"/>
  </protectedRanges>
  <mergeCells count="1">
    <mergeCell ref="A1:K1"/>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3"/>
  <sheetViews>
    <sheetView zoomScale="80" zoomScaleNormal="80" workbookViewId="0">
      <selection activeCell="D3" sqref="D3"/>
    </sheetView>
  </sheetViews>
  <sheetFormatPr defaultColWidth="8.6640625" defaultRowHeight="14.4" x14ac:dyDescent="0.3"/>
  <cols>
    <col min="2" max="2" width="36.6640625" customWidth="1"/>
    <col min="3" max="8" width="18.5546875" customWidth="1"/>
    <col min="9" max="9" width="18.33203125" customWidth="1"/>
    <col min="10" max="11" width="18.6640625" customWidth="1"/>
  </cols>
  <sheetData>
    <row r="1" spans="1:11" x14ac:dyDescent="0.3">
      <c r="A1" s="236" t="s">
        <v>109</v>
      </c>
      <c r="B1" s="236"/>
      <c r="C1" s="236"/>
      <c r="D1" s="236"/>
      <c r="E1" s="236"/>
      <c r="F1" s="236"/>
      <c r="G1" s="236"/>
      <c r="H1" s="236"/>
      <c r="I1" s="236"/>
      <c r="J1" s="236"/>
      <c r="K1" s="236"/>
    </row>
    <row r="2" spans="1:11" ht="22.8" x14ac:dyDescent="0.3">
      <c r="A2" s="27" t="s">
        <v>1</v>
      </c>
      <c r="B2" s="33" t="s">
        <v>97</v>
      </c>
      <c r="C2" s="6" t="s">
        <v>110</v>
      </c>
      <c r="D2" s="6" t="s">
        <v>101</v>
      </c>
      <c r="E2" s="6" t="s">
        <v>102</v>
      </c>
      <c r="F2" s="6" t="s">
        <v>103</v>
      </c>
      <c r="G2" s="6" t="s">
        <v>104</v>
      </c>
      <c r="H2" s="6" t="s">
        <v>99</v>
      </c>
      <c r="I2" s="6" t="s">
        <v>100</v>
      </c>
      <c r="J2" s="6" t="s">
        <v>111</v>
      </c>
      <c r="K2" s="6" t="s">
        <v>112</v>
      </c>
    </row>
    <row r="3" spans="1:11" x14ac:dyDescent="0.3">
      <c r="A3" s="13">
        <v>1</v>
      </c>
      <c r="B3" s="14" t="s">
        <v>113</v>
      </c>
      <c r="C3" s="13" t="s">
        <v>114</v>
      </c>
      <c r="D3" s="194">
        <v>5.82</v>
      </c>
      <c r="E3" s="20">
        <f>TRUNC((D3*'Salários.VA.VT.QteDias.LDI.T'!$G$48),2)</f>
        <v>0.59</v>
      </c>
      <c r="F3" s="20">
        <f>TRUNC((((D3+E3)/(1-'Salários.VA.VT.QteDias.LDI.T'!$G$56))*'Salários.VA.VT.QteDias.LDI.T'!$G$56),2)</f>
        <v>0.6</v>
      </c>
      <c r="G3" s="20">
        <f t="shared" ref="G3:G8" si="0">TRUNC((D3+E3+F3),2)</f>
        <v>7.01</v>
      </c>
      <c r="H3" s="2">
        <v>20</v>
      </c>
      <c r="I3" s="2">
        <f t="shared" ref="I3:I8" si="1">H3*12</f>
        <v>240</v>
      </c>
      <c r="J3" s="20">
        <f t="shared" ref="J3:J8" si="2">TRUNC((G3*H3),2)</f>
        <v>140.19999999999999</v>
      </c>
      <c r="K3" s="20">
        <f t="shared" ref="K3:K8" si="3">TRUNC((J3*12),2)</f>
        <v>1682.4</v>
      </c>
    </row>
    <row r="4" spans="1:11" x14ac:dyDescent="0.3">
      <c r="A4" s="13">
        <v>2</v>
      </c>
      <c r="B4" s="14" t="s">
        <v>115</v>
      </c>
      <c r="C4" s="13" t="s">
        <v>116</v>
      </c>
      <c r="D4" s="194">
        <v>5.85</v>
      </c>
      <c r="E4" s="20">
        <f>TRUNC((D4*'Salários.VA.VT.QteDias.LDI.T'!$G$48),2)</f>
        <v>0.6</v>
      </c>
      <c r="F4" s="20">
        <f>TRUNC((((D4+E4)/(1-'Salários.VA.VT.QteDias.LDI.T'!$G$56))*'Salários.VA.VT.QteDias.LDI.T'!$G$56),2)</f>
        <v>0.61</v>
      </c>
      <c r="G4" s="20">
        <f t="shared" si="0"/>
        <v>7.06</v>
      </c>
      <c r="H4" s="2">
        <v>1</v>
      </c>
      <c r="I4" s="2">
        <f t="shared" si="1"/>
        <v>12</v>
      </c>
      <c r="J4" s="20">
        <f t="shared" si="2"/>
        <v>7.06</v>
      </c>
      <c r="K4" s="20">
        <f t="shared" si="3"/>
        <v>84.72</v>
      </c>
    </row>
    <row r="5" spans="1:11" x14ac:dyDescent="0.3">
      <c r="A5" s="13">
        <v>3</v>
      </c>
      <c r="B5" s="14" t="s">
        <v>117</v>
      </c>
      <c r="C5" s="13" t="s">
        <v>118</v>
      </c>
      <c r="D5" s="194">
        <v>13.71</v>
      </c>
      <c r="E5" s="20">
        <f>TRUNC((D5*'Salários.VA.VT.QteDias.LDI.T'!$G$48),2)</f>
        <v>1.41</v>
      </c>
      <c r="F5" s="20">
        <f>TRUNC((((D5+E5)/(1-'Salários.VA.VT.QteDias.LDI.T'!$G$56))*'Salários.VA.VT.QteDias.LDI.T'!$G$56),2)</f>
        <v>1.43</v>
      </c>
      <c r="G5" s="20">
        <f t="shared" si="0"/>
        <v>16.55</v>
      </c>
      <c r="H5" s="2">
        <v>50</v>
      </c>
      <c r="I5" s="2">
        <f t="shared" si="1"/>
        <v>600</v>
      </c>
      <c r="J5" s="20">
        <f t="shared" si="2"/>
        <v>827.5</v>
      </c>
      <c r="K5" s="20">
        <f t="shared" si="3"/>
        <v>9930</v>
      </c>
    </row>
    <row r="6" spans="1:11" x14ac:dyDescent="0.3">
      <c r="A6" s="13">
        <v>4</v>
      </c>
      <c r="B6" s="14" t="s">
        <v>119</v>
      </c>
      <c r="C6" s="13" t="s">
        <v>120</v>
      </c>
      <c r="D6" s="194">
        <v>12.48</v>
      </c>
      <c r="E6" s="20">
        <f>TRUNC((D6*'Salários.VA.VT.QteDias.LDI.T'!$G$48),2)</f>
        <v>1.28</v>
      </c>
      <c r="F6" s="20">
        <f>TRUNC((((D6+E6)/(1-'Salários.VA.VT.QteDias.LDI.T'!$G$56))*'Salários.VA.VT.QteDias.LDI.T'!$G$56),2)</f>
        <v>1.3</v>
      </c>
      <c r="G6" s="20">
        <f t="shared" si="0"/>
        <v>15.06</v>
      </c>
      <c r="H6" s="2">
        <v>50</v>
      </c>
      <c r="I6" s="2">
        <f t="shared" si="1"/>
        <v>600</v>
      </c>
      <c r="J6" s="20">
        <f t="shared" si="2"/>
        <v>753</v>
      </c>
      <c r="K6" s="20">
        <f t="shared" si="3"/>
        <v>9036</v>
      </c>
    </row>
    <row r="7" spans="1:11" x14ac:dyDescent="0.3">
      <c r="A7" s="13">
        <v>5</v>
      </c>
      <c r="B7" s="14" t="s">
        <v>121</v>
      </c>
      <c r="C7" s="13" t="s">
        <v>122</v>
      </c>
      <c r="D7" s="194">
        <v>6.03</v>
      </c>
      <c r="E7" s="20">
        <f>TRUNC((D7*'Salários.VA.VT.QteDias.LDI.T'!$G$48),2)</f>
        <v>0.62</v>
      </c>
      <c r="F7" s="20">
        <f>TRUNC((((D7+E7)/(1-'Salários.VA.VT.QteDias.LDI.T'!$G$56))*'Salários.VA.VT.QteDias.LDI.T'!$G$56),2)</f>
        <v>0.62</v>
      </c>
      <c r="G7" s="20">
        <f t="shared" si="0"/>
        <v>7.27</v>
      </c>
      <c r="H7" s="2">
        <v>0</v>
      </c>
      <c r="I7" s="2">
        <f t="shared" si="1"/>
        <v>0</v>
      </c>
      <c r="J7" s="20">
        <f t="shared" si="2"/>
        <v>0</v>
      </c>
      <c r="K7" s="20">
        <f t="shared" si="3"/>
        <v>0</v>
      </c>
    </row>
    <row r="8" spans="1:11" x14ac:dyDescent="0.3">
      <c r="A8" s="13">
        <v>6</v>
      </c>
      <c r="B8" s="34" t="s">
        <v>123</v>
      </c>
      <c r="C8" s="2" t="s">
        <v>124</v>
      </c>
      <c r="D8" s="194">
        <v>11</v>
      </c>
      <c r="E8" s="20">
        <f>TRUNC((D8*'Salários.VA.VT.QteDias.LDI.T'!$G$48),2)</f>
        <v>1.1299999999999999</v>
      </c>
      <c r="F8" s="20">
        <f>TRUNC((((D8+E8)/(1-'Salários.VA.VT.QteDias.LDI.T'!$G$56))*'Salários.VA.VT.QteDias.LDI.T'!$G$56),2)</f>
        <v>1.1399999999999999</v>
      </c>
      <c r="G8" s="20">
        <f t="shared" si="0"/>
        <v>13.27</v>
      </c>
      <c r="H8" s="2">
        <v>100</v>
      </c>
      <c r="I8" s="2">
        <f t="shared" si="1"/>
        <v>1200</v>
      </c>
      <c r="J8" s="20">
        <f t="shared" si="2"/>
        <v>1327</v>
      </c>
      <c r="K8" s="20">
        <f t="shared" si="3"/>
        <v>15924</v>
      </c>
    </row>
    <row r="9" spans="1:11" x14ac:dyDescent="0.3">
      <c r="A9" s="13">
        <v>7</v>
      </c>
      <c r="B9" s="34"/>
      <c r="C9" s="2"/>
      <c r="D9" s="20"/>
      <c r="E9" s="20"/>
      <c r="F9" s="20"/>
      <c r="G9" s="20"/>
      <c r="H9" s="2"/>
      <c r="I9" s="2"/>
      <c r="J9" s="20"/>
      <c r="K9" s="20"/>
    </row>
    <row r="10" spans="1:11" ht="15" customHeight="1" x14ac:dyDescent="0.3">
      <c r="A10" s="13"/>
      <c r="B10" s="248" t="s">
        <v>125</v>
      </c>
      <c r="C10" s="248"/>
      <c r="D10" s="248"/>
      <c r="E10" s="248"/>
      <c r="F10" s="248"/>
      <c r="G10" s="248"/>
      <c r="H10" s="248"/>
      <c r="I10" s="248"/>
      <c r="J10" s="38">
        <f>TRUNC(SUM(J3:J9),2)</f>
        <v>3054.76</v>
      </c>
      <c r="K10" s="38">
        <f>SUM(K3:K9)</f>
        <v>36657.120000000003</v>
      </c>
    </row>
    <row r="11" spans="1:11" x14ac:dyDescent="0.3">
      <c r="A11" s="31"/>
      <c r="B11" s="31"/>
      <c r="C11" s="31"/>
      <c r="D11" s="31"/>
      <c r="E11" s="31"/>
      <c r="F11" s="31"/>
      <c r="G11" s="31"/>
      <c r="H11" s="31"/>
      <c r="I11" s="31"/>
      <c r="J11" s="31"/>
      <c r="K11" s="31"/>
    </row>
    <row r="12" spans="1:11" x14ac:dyDescent="0.3">
      <c r="A12" s="31"/>
      <c r="B12" s="31"/>
      <c r="C12" s="31"/>
      <c r="D12" s="31"/>
      <c r="E12" s="31"/>
      <c r="F12" s="31"/>
      <c r="G12" s="31"/>
      <c r="H12" s="31"/>
      <c r="I12" s="31"/>
      <c r="J12" s="31"/>
      <c r="K12" s="31"/>
    </row>
    <row r="13" spans="1:11" x14ac:dyDescent="0.3">
      <c r="A13" s="31"/>
      <c r="B13" s="31"/>
      <c r="C13" s="31"/>
      <c r="D13" s="31"/>
      <c r="E13" s="31"/>
      <c r="F13" s="31"/>
      <c r="G13" s="31"/>
      <c r="H13" s="31"/>
      <c r="I13" s="31"/>
      <c r="J13" s="31"/>
      <c r="K13" s="31"/>
    </row>
  </sheetData>
  <sheetProtection sheet="1" objects="1" scenarios="1"/>
  <protectedRanges>
    <protectedRange sqref="D3:D8" name="Intervalo1"/>
  </protectedRanges>
  <mergeCells count="2">
    <mergeCell ref="A1:K1"/>
    <mergeCell ref="B10:I10"/>
  </mergeCells>
  <pageMargins left="0.7" right="0.7" top="0.75" bottom="0.7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6"/>
  <sheetViews>
    <sheetView zoomScale="110" zoomScaleNormal="110" workbookViewId="0">
      <selection activeCell="E3" sqref="E3"/>
    </sheetView>
  </sheetViews>
  <sheetFormatPr defaultColWidth="8.6640625" defaultRowHeight="14.4" x14ac:dyDescent="0.3"/>
  <cols>
    <col min="2" max="2" width="43.33203125" customWidth="1"/>
    <col min="3" max="3" width="47.88671875" customWidth="1"/>
    <col min="4" max="4" width="17.109375" customWidth="1"/>
    <col min="5" max="5" width="19" customWidth="1"/>
    <col min="6" max="6" width="20.109375" customWidth="1"/>
    <col min="7" max="7" width="21.109375" customWidth="1"/>
  </cols>
  <sheetData>
    <row r="1" spans="1:7" x14ac:dyDescent="0.3">
      <c r="A1" s="236" t="s">
        <v>126</v>
      </c>
      <c r="B1" s="236"/>
      <c r="C1" s="236"/>
      <c r="D1" s="236"/>
      <c r="E1" s="236"/>
      <c r="F1" s="236"/>
      <c r="G1" s="236"/>
    </row>
    <row r="2" spans="1:7" ht="30" customHeight="1" x14ac:dyDescent="0.3">
      <c r="A2" s="35" t="s">
        <v>1</v>
      </c>
      <c r="B2" s="35" t="s">
        <v>127</v>
      </c>
      <c r="C2" s="35" t="s">
        <v>110</v>
      </c>
      <c r="D2" s="35" t="s">
        <v>128</v>
      </c>
      <c r="E2" s="35" t="s">
        <v>100</v>
      </c>
      <c r="F2" s="35" t="s">
        <v>129</v>
      </c>
      <c r="G2" s="35" t="s">
        <v>112</v>
      </c>
    </row>
    <row r="3" spans="1:7" ht="16.5" customHeight="1" x14ac:dyDescent="0.3">
      <c r="A3" s="13">
        <v>1</v>
      </c>
      <c r="B3" s="36" t="s">
        <v>130</v>
      </c>
      <c r="C3" s="2" t="s">
        <v>131</v>
      </c>
      <c r="D3" s="194">
        <v>7.58</v>
      </c>
      <c r="E3" s="2">
        <v>12</v>
      </c>
      <c r="F3" s="2"/>
      <c r="G3" s="20">
        <f t="shared" ref="G3:G14" si="0">D3*E3</f>
        <v>90.960000000000008</v>
      </c>
    </row>
    <row r="4" spans="1:7" x14ac:dyDescent="0.3">
      <c r="A4" s="13">
        <v>2</v>
      </c>
      <c r="B4" s="36" t="s">
        <v>132</v>
      </c>
      <c r="C4" s="2" t="s">
        <v>131</v>
      </c>
      <c r="D4" s="194">
        <v>2.0499999999999998</v>
      </c>
      <c r="E4" s="2">
        <v>144</v>
      </c>
      <c r="F4" s="2"/>
      <c r="G4" s="20">
        <f t="shared" si="0"/>
        <v>295.2</v>
      </c>
    </row>
    <row r="5" spans="1:7" x14ac:dyDescent="0.3">
      <c r="A5" s="13">
        <v>3</v>
      </c>
      <c r="B5" s="36" t="s">
        <v>133</v>
      </c>
      <c r="C5" s="2" t="s">
        <v>134</v>
      </c>
      <c r="D5" s="194">
        <v>1.66</v>
      </c>
      <c r="E5" s="2">
        <v>36</v>
      </c>
      <c r="F5" s="2"/>
      <c r="G5" s="20">
        <f t="shared" si="0"/>
        <v>59.76</v>
      </c>
    </row>
    <row r="6" spans="1:7" x14ac:dyDescent="0.3">
      <c r="A6" s="13">
        <v>4</v>
      </c>
      <c r="B6" s="36" t="s">
        <v>135</v>
      </c>
      <c r="C6" s="2" t="s">
        <v>131</v>
      </c>
      <c r="D6" s="194">
        <v>4.04</v>
      </c>
      <c r="E6" s="2">
        <v>24</v>
      </c>
      <c r="F6" s="2"/>
      <c r="G6" s="20">
        <f t="shared" si="0"/>
        <v>96.960000000000008</v>
      </c>
    </row>
    <row r="7" spans="1:7" x14ac:dyDescent="0.3">
      <c r="A7" s="13">
        <v>5</v>
      </c>
      <c r="B7" s="36" t="s">
        <v>136</v>
      </c>
      <c r="C7" s="2" t="s">
        <v>137</v>
      </c>
      <c r="D7" s="194">
        <v>3.36</v>
      </c>
      <c r="E7" s="2">
        <v>24</v>
      </c>
      <c r="F7" s="2"/>
      <c r="G7" s="20">
        <f t="shared" si="0"/>
        <v>80.64</v>
      </c>
    </row>
    <row r="8" spans="1:7" x14ac:dyDescent="0.3">
      <c r="A8" s="13">
        <v>6</v>
      </c>
      <c r="B8" s="36" t="s">
        <v>138</v>
      </c>
      <c r="C8" s="2" t="s">
        <v>134</v>
      </c>
      <c r="D8" s="194">
        <v>4.4000000000000004</v>
      </c>
      <c r="E8" s="2">
        <v>12</v>
      </c>
      <c r="F8" s="2"/>
      <c r="G8" s="20">
        <f t="shared" si="0"/>
        <v>52.800000000000004</v>
      </c>
    </row>
    <row r="9" spans="1:7" x14ac:dyDescent="0.3">
      <c r="A9" s="13">
        <v>7</v>
      </c>
      <c r="B9" s="36" t="s">
        <v>139</v>
      </c>
      <c r="C9" s="2" t="s">
        <v>134</v>
      </c>
      <c r="D9" s="194">
        <v>2.7</v>
      </c>
      <c r="E9" s="2">
        <v>12</v>
      </c>
      <c r="F9" s="2"/>
      <c r="G9" s="20">
        <f t="shared" si="0"/>
        <v>32.400000000000006</v>
      </c>
    </row>
    <row r="10" spans="1:7" x14ac:dyDescent="0.3">
      <c r="A10" s="13">
        <v>8</v>
      </c>
      <c r="B10" s="36" t="s">
        <v>140</v>
      </c>
      <c r="C10" s="2" t="s">
        <v>141</v>
      </c>
      <c r="D10" s="194">
        <v>3.14</v>
      </c>
      <c r="E10" s="2">
        <v>36</v>
      </c>
      <c r="F10" s="2"/>
      <c r="G10" s="20">
        <f t="shared" si="0"/>
        <v>113.04</v>
      </c>
    </row>
    <row r="11" spans="1:7" x14ac:dyDescent="0.3">
      <c r="A11" s="13">
        <v>9</v>
      </c>
      <c r="B11" s="36" t="s">
        <v>142</v>
      </c>
      <c r="C11" s="2" t="s">
        <v>141</v>
      </c>
      <c r="D11" s="194">
        <v>3.77</v>
      </c>
      <c r="E11" s="2">
        <v>120</v>
      </c>
      <c r="F11" s="2"/>
      <c r="G11" s="20">
        <f t="shared" si="0"/>
        <v>452.4</v>
      </c>
    </row>
    <row r="12" spans="1:7" x14ac:dyDescent="0.3">
      <c r="A12" s="13">
        <v>10</v>
      </c>
      <c r="B12" s="36" t="s">
        <v>143</v>
      </c>
      <c r="C12" s="2" t="s">
        <v>144</v>
      </c>
      <c r="D12" s="194">
        <v>4.0599999999999996</v>
      </c>
      <c r="E12" s="2">
        <v>180</v>
      </c>
      <c r="F12" s="2"/>
      <c r="G12" s="20">
        <f t="shared" si="0"/>
        <v>730.8</v>
      </c>
    </row>
    <row r="13" spans="1:7" ht="15.75" customHeight="1" x14ac:dyDescent="0.3">
      <c r="A13" s="13">
        <v>11</v>
      </c>
      <c r="B13" s="36" t="s">
        <v>145</v>
      </c>
      <c r="C13" s="2" t="s">
        <v>146</v>
      </c>
      <c r="D13" s="194">
        <v>20.190000000000001</v>
      </c>
      <c r="E13" s="2">
        <v>48</v>
      </c>
      <c r="F13" s="2"/>
      <c r="G13" s="20">
        <f t="shared" si="0"/>
        <v>969.12000000000012</v>
      </c>
    </row>
    <row r="14" spans="1:7" x14ac:dyDescent="0.3">
      <c r="A14" s="13">
        <v>12</v>
      </c>
      <c r="B14" s="36" t="s">
        <v>147</v>
      </c>
      <c r="C14" s="2" t="s">
        <v>148</v>
      </c>
      <c r="D14" s="194">
        <v>3.59</v>
      </c>
      <c r="E14" s="2">
        <v>12</v>
      </c>
      <c r="F14" s="2"/>
      <c r="G14" s="20">
        <f t="shared" si="0"/>
        <v>43.08</v>
      </c>
    </row>
    <row r="15" spans="1:7" x14ac:dyDescent="0.3">
      <c r="A15" s="13">
        <v>13</v>
      </c>
      <c r="B15" s="2"/>
      <c r="C15" s="2"/>
      <c r="D15" s="2"/>
      <c r="E15" s="2"/>
      <c r="F15" s="2"/>
      <c r="G15" s="2"/>
    </row>
    <row r="16" spans="1:7" x14ac:dyDescent="0.3">
      <c r="A16" s="13">
        <v>14</v>
      </c>
      <c r="B16" s="2"/>
      <c r="C16" s="2"/>
      <c r="D16" s="2"/>
      <c r="E16" s="2"/>
      <c r="F16" s="2"/>
      <c r="G16" s="2"/>
    </row>
    <row r="17" spans="1:7" ht="14.25" customHeight="1" x14ac:dyDescent="0.3">
      <c r="A17" s="13">
        <v>15</v>
      </c>
      <c r="B17" s="2"/>
      <c r="C17" s="2"/>
      <c r="D17" s="20">
        <f>TRUNC(SUM(D3:D15),2)</f>
        <v>60.54</v>
      </c>
      <c r="E17" s="20"/>
      <c r="F17" s="20"/>
      <c r="G17" s="20">
        <f>TRUNC(SUM(G3:G15),2)</f>
        <v>3017.16</v>
      </c>
    </row>
    <row r="18" spans="1:7" x14ac:dyDescent="0.3">
      <c r="A18" s="37"/>
      <c r="B18" s="37"/>
      <c r="C18" s="37"/>
      <c r="D18" s="37"/>
      <c r="E18" s="37"/>
      <c r="F18" s="37"/>
      <c r="G18" s="37"/>
    </row>
    <row r="19" spans="1:7" x14ac:dyDescent="0.3">
      <c r="A19" s="37"/>
      <c r="B19" s="37"/>
      <c r="C19" s="37"/>
      <c r="D19" s="37"/>
      <c r="E19" s="37"/>
      <c r="F19" s="37"/>
      <c r="G19" s="37"/>
    </row>
    <row r="20" spans="1:7" ht="16.5" customHeight="1" x14ac:dyDescent="0.3">
      <c r="A20" s="31"/>
      <c r="B20" s="31"/>
      <c r="C20" s="31"/>
      <c r="D20" s="238" t="s">
        <v>149</v>
      </c>
      <c r="E20" s="238"/>
      <c r="F20" s="238"/>
      <c r="G20" s="38">
        <f>TRUNC((G17/12),2)</f>
        <v>251.43</v>
      </c>
    </row>
    <row r="21" spans="1:7" ht="33" customHeight="1" x14ac:dyDescent="0.3">
      <c r="A21" s="31"/>
      <c r="B21" s="31"/>
      <c r="C21" s="31"/>
      <c r="D21" s="238" t="s">
        <v>150</v>
      </c>
      <c r="E21" s="238"/>
      <c r="F21" s="238"/>
      <c r="G21" s="38">
        <f>TRUNC((G20/5),2)</f>
        <v>50.28</v>
      </c>
    </row>
    <row r="22" spans="1:7" x14ac:dyDescent="0.3">
      <c r="A22" s="32"/>
      <c r="B22" s="32"/>
      <c r="C22" s="32"/>
      <c r="D22" s="32"/>
      <c r="E22" s="32"/>
      <c r="F22" s="32"/>
      <c r="G22" s="32"/>
    </row>
    <row r="23" spans="1:7" x14ac:dyDescent="0.3">
      <c r="A23" s="32"/>
      <c r="B23" s="32"/>
      <c r="C23" s="32"/>
      <c r="D23" s="32"/>
      <c r="E23" s="32"/>
      <c r="F23" s="32"/>
      <c r="G23" s="32"/>
    </row>
    <row r="24" spans="1:7" x14ac:dyDescent="0.3">
      <c r="A24" s="32"/>
      <c r="B24" s="32"/>
      <c r="C24" s="32"/>
      <c r="D24" s="32"/>
      <c r="E24" s="32"/>
      <c r="F24" s="32"/>
      <c r="G24" s="32"/>
    </row>
    <row r="25" spans="1:7" x14ac:dyDescent="0.3">
      <c r="A25" s="32"/>
      <c r="B25" s="32"/>
      <c r="C25" s="32"/>
      <c r="D25" s="32"/>
      <c r="E25" s="32"/>
      <c r="F25" s="32"/>
      <c r="G25" s="32"/>
    </row>
    <row r="26" spans="1:7" x14ac:dyDescent="0.3">
      <c r="A26" s="32"/>
      <c r="B26" s="32"/>
      <c r="C26" s="32"/>
      <c r="D26" s="32"/>
      <c r="E26" s="32"/>
      <c r="F26" s="32"/>
      <c r="G26" s="32"/>
    </row>
  </sheetData>
  <sheetProtection sheet="1" objects="1" scenarios="1"/>
  <protectedRanges>
    <protectedRange sqref="D3:D14" name="Intervalo1"/>
  </protectedRanges>
  <mergeCells count="3">
    <mergeCell ref="A1:G1"/>
    <mergeCell ref="D20:F20"/>
    <mergeCell ref="D21:F21"/>
  </mergeCells>
  <pageMargins left="0.7" right="0.7" top="0.75" bottom="0.7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86"/>
  <sheetViews>
    <sheetView zoomScaleNormal="100" workbookViewId="0">
      <selection activeCell="E3" sqref="E3"/>
    </sheetView>
  </sheetViews>
  <sheetFormatPr defaultColWidth="8.6640625" defaultRowHeight="14.4" x14ac:dyDescent="0.3"/>
  <cols>
    <col min="2" max="2" width="63.6640625" customWidth="1"/>
    <col min="3" max="7" width="17.109375" customWidth="1"/>
    <col min="8" max="8" width="19.33203125" customWidth="1"/>
    <col min="9" max="9" width="20.5546875" customWidth="1"/>
    <col min="10" max="10" width="30.6640625" customWidth="1"/>
  </cols>
  <sheetData>
    <row r="1" spans="1:10" x14ac:dyDescent="0.3">
      <c r="A1" s="249" t="s">
        <v>126</v>
      </c>
      <c r="B1" s="249"/>
      <c r="C1" s="249"/>
      <c r="D1" s="249"/>
      <c r="E1" s="249"/>
      <c r="F1" s="249"/>
      <c r="G1" s="249"/>
      <c r="H1" s="249"/>
      <c r="I1" s="249"/>
      <c r="J1" s="249"/>
    </row>
    <row r="2" spans="1:10" ht="24.75" customHeight="1" x14ac:dyDescent="0.3">
      <c r="A2" s="39" t="s">
        <v>1</v>
      </c>
      <c r="B2" s="39" t="s">
        <v>127</v>
      </c>
      <c r="C2" s="39" t="s">
        <v>110</v>
      </c>
      <c r="D2" s="1" t="s">
        <v>101</v>
      </c>
      <c r="E2" s="1" t="s">
        <v>102</v>
      </c>
      <c r="F2" s="1" t="s">
        <v>103</v>
      </c>
      <c r="G2" s="1" t="s">
        <v>104</v>
      </c>
      <c r="H2" s="39" t="s">
        <v>129</v>
      </c>
      <c r="I2" s="39" t="s">
        <v>100</v>
      </c>
      <c r="J2" s="39" t="s">
        <v>151</v>
      </c>
    </row>
    <row r="3" spans="1:10" ht="19.5" customHeight="1" x14ac:dyDescent="0.3">
      <c r="A3" s="40">
        <f t="shared" ref="A3:A34" si="0">ROW() - ROW($A$2)</f>
        <v>1</v>
      </c>
      <c r="B3" s="41" t="s">
        <v>152</v>
      </c>
      <c r="C3" s="42" t="s">
        <v>134</v>
      </c>
      <c r="D3" s="195">
        <v>33.979999999999997</v>
      </c>
      <c r="E3" s="43">
        <f>TRUNC((D3*'Salários.VA.VT.QteDias.LDI.T'!$G$48),2)</f>
        <v>3.49</v>
      </c>
      <c r="F3" s="43">
        <f>TRUNC((((D3+E3)/(1-'Salários.VA.VT.QteDias.LDI.T'!$G$56))*'Salários.VA.VT.QteDias.LDI.T'!$G$56),2)</f>
        <v>3.54</v>
      </c>
      <c r="G3" s="43">
        <f t="shared" ref="G3:G34" si="1">TRUNC((D3+E3+F3),2)</f>
        <v>41.01</v>
      </c>
      <c r="H3" s="42"/>
      <c r="I3" s="42">
        <v>1</v>
      </c>
      <c r="J3" s="43">
        <f t="shared" ref="J3:J34" si="2">TRUNC((G3*I3),2)</f>
        <v>41.01</v>
      </c>
    </row>
    <row r="4" spans="1:10" ht="19.5" customHeight="1" x14ac:dyDescent="0.3">
      <c r="A4" s="40">
        <f t="shared" si="0"/>
        <v>2</v>
      </c>
      <c r="B4" s="41" t="s">
        <v>153</v>
      </c>
      <c r="C4" s="42" t="s">
        <v>134</v>
      </c>
      <c r="D4" s="195">
        <v>9.58</v>
      </c>
      <c r="E4" s="43">
        <f>TRUNC((D4*'Salários.VA.VT.QteDias.LDI.T'!$G$48),2)</f>
        <v>0.98</v>
      </c>
      <c r="F4" s="43">
        <f>TRUNC((((D4+E4)/(1-'Salários.VA.VT.QteDias.LDI.T'!$G$56))*'Salários.VA.VT.QteDias.LDI.T'!$G$56),2)</f>
        <v>0.99</v>
      </c>
      <c r="G4" s="43">
        <f t="shared" si="1"/>
        <v>11.55</v>
      </c>
      <c r="H4" s="42" t="s">
        <v>154</v>
      </c>
      <c r="I4" s="42"/>
      <c r="J4" s="43">
        <f t="shared" si="2"/>
        <v>0</v>
      </c>
    </row>
    <row r="5" spans="1:10" ht="19.5" customHeight="1" x14ac:dyDescent="0.3">
      <c r="A5" s="40">
        <f t="shared" si="0"/>
        <v>3</v>
      </c>
      <c r="B5" s="41" t="s">
        <v>155</v>
      </c>
      <c r="C5" s="42" t="s">
        <v>134</v>
      </c>
      <c r="D5" s="195">
        <v>58.29</v>
      </c>
      <c r="E5" s="43">
        <f>TRUNC((D5*'Salários.VA.VT.QteDias.LDI.T'!$G$48),2)</f>
        <v>6</v>
      </c>
      <c r="F5" s="43">
        <f>TRUNC((((D5+E5)/(1-'Salários.VA.VT.QteDias.LDI.T'!$G$56))*'Salários.VA.VT.QteDias.LDI.T'!$G$56),2)</f>
        <v>6.08</v>
      </c>
      <c r="G5" s="43">
        <f t="shared" si="1"/>
        <v>70.37</v>
      </c>
      <c r="H5" s="42"/>
      <c r="I5" s="42">
        <v>3</v>
      </c>
      <c r="J5" s="43">
        <f t="shared" si="2"/>
        <v>211.11</v>
      </c>
    </row>
    <row r="6" spans="1:10" ht="19.5" customHeight="1" x14ac:dyDescent="0.3">
      <c r="A6" s="40">
        <f t="shared" si="0"/>
        <v>4</v>
      </c>
      <c r="B6" s="41" t="s">
        <v>156</v>
      </c>
      <c r="C6" s="42" t="s">
        <v>134</v>
      </c>
      <c r="D6" s="195">
        <v>53.28</v>
      </c>
      <c r="E6" s="43">
        <f>TRUNC((D6*'Salários.VA.VT.QteDias.LDI.T'!$G$48),2)</f>
        <v>5.48</v>
      </c>
      <c r="F6" s="43">
        <f>TRUNC((((D6+E6)/(1-'Salários.VA.VT.QteDias.LDI.T'!$G$56))*'Salários.VA.VT.QteDias.LDI.T'!$G$56),2)</f>
        <v>5.56</v>
      </c>
      <c r="G6" s="43">
        <f t="shared" si="1"/>
        <v>64.319999999999993</v>
      </c>
      <c r="H6" s="42"/>
      <c r="I6" s="42">
        <v>3</v>
      </c>
      <c r="J6" s="43">
        <f t="shared" si="2"/>
        <v>192.96</v>
      </c>
    </row>
    <row r="7" spans="1:10" ht="19.5" customHeight="1" x14ac:dyDescent="0.3">
      <c r="A7" s="40">
        <f t="shared" si="0"/>
        <v>5</v>
      </c>
      <c r="B7" s="41" t="s">
        <v>157</v>
      </c>
      <c r="C7" s="42" t="s">
        <v>134</v>
      </c>
      <c r="D7" s="195">
        <v>14.53</v>
      </c>
      <c r="E7" s="43">
        <f>TRUNC((D7*'Salários.VA.VT.QteDias.LDI.T'!$G$48),2)</f>
        <v>1.49</v>
      </c>
      <c r="F7" s="43">
        <f>TRUNC((((D7+E7)/(1-'Salários.VA.VT.QteDias.LDI.T'!$G$56))*'Salários.VA.VT.QteDias.LDI.T'!$G$56),2)</f>
        <v>1.51</v>
      </c>
      <c r="G7" s="43">
        <f t="shared" si="1"/>
        <v>17.53</v>
      </c>
      <c r="H7" s="42"/>
      <c r="I7" s="42">
        <v>2</v>
      </c>
      <c r="J7" s="43">
        <f t="shared" si="2"/>
        <v>35.06</v>
      </c>
    </row>
    <row r="8" spans="1:10" ht="19.5" customHeight="1" x14ac:dyDescent="0.3">
      <c r="A8" s="40">
        <f t="shared" si="0"/>
        <v>6</v>
      </c>
      <c r="B8" s="41" t="s">
        <v>158</v>
      </c>
      <c r="C8" s="42" t="s">
        <v>134</v>
      </c>
      <c r="D8" s="195">
        <v>17.7</v>
      </c>
      <c r="E8" s="43">
        <f>TRUNC((D8*'Salários.VA.VT.QteDias.LDI.T'!$G$48),2)</f>
        <v>1.82</v>
      </c>
      <c r="F8" s="43">
        <f>TRUNC((((D8+E8)/(1-'Salários.VA.VT.QteDias.LDI.T'!$G$56))*'Salários.VA.VT.QteDias.LDI.T'!$G$56),2)</f>
        <v>1.84</v>
      </c>
      <c r="G8" s="43">
        <f t="shared" si="1"/>
        <v>21.36</v>
      </c>
      <c r="H8" s="44"/>
      <c r="I8" s="42">
        <v>5</v>
      </c>
      <c r="J8" s="43">
        <f t="shared" si="2"/>
        <v>106.8</v>
      </c>
    </row>
    <row r="9" spans="1:10" ht="19.5" customHeight="1" x14ac:dyDescent="0.3">
      <c r="A9" s="40">
        <f t="shared" si="0"/>
        <v>7</v>
      </c>
      <c r="B9" s="41" t="s">
        <v>159</v>
      </c>
      <c r="C9" s="42" t="s">
        <v>134</v>
      </c>
      <c r="D9" s="195">
        <v>16.93</v>
      </c>
      <c r="E9" s="43">
        <f>TRUNC((D9*'Salários.VA.VT.QteDias.LDI.T'!$G$48),2)</f>
        <v>1.74</v>
      </c>
      <c r="F9" s="43">
        <f>TRUNC((((D9+E9)/(1-'Salários.VA.VT.QteDias.LDI.T'!$G$56))*'Salários.VA.VT.QteDias.LDI.T'!$G$56),2)</f>
        <v>1.76</v>
      </c>
      <c r="G9" s="43">
        <f t="shared" si="1"/>
        <v>20.43</v>
      </c>
      <c r="H9" s="42" t="s">
        <v>154</v>
      </c>
      <c r="I9" s="45"/>
      <c r="J9" s="43">
        <f t="shared" si="2"/>
        <v>0</v>
      </c>
    </row>
    <row r="10" spans="1:10" ht="19.5" customHeight="1" x14ac:dyDescent="0.3">
      <c r="A10" s="40">
        <f t="shared" si="0"/>
        <v>8</v>
      </c>
      <c r="B10" s="41" t="s">
        <v>160</v>
      </c>
      <c r="C10" s="42" t="s">
        <v>134</v>
      </c>
      <c r="D10" s="195">
        <v>9.17</v>
      </c>
      <c r="E10" s="43">
        <f>TRUNC((D10*'Salários.VA.VT.QteDias.LDI.T'!$G$48),2)</f>
        <v>0.94</v>
      </c>
      <c r="F10" s="43">
        <f>TRUNC((((D10+E10)/(1-'Salários.VA.VT.QteDias.LDI.T'!$G$56))*'Salários.VA.VT.QteDias.LDI.T'!$G$56),2)</f>
        <v>0.95</v>
      </c>
      <c r="G10" s="43">
        <f t="shared" si="1"/>
        <v>11.06</v>
      </c>
      <c r="H10" s="46"/>
      <c r="I10" s="42">
        <v>3</v>
      </c>
      <c r="J10" s="43">
        <f t="shared" si="2"/>
        <v>33.18</v>
      </c>
    </row>
    <row r="11" spans="1:10" ht="19.5" customHeight="1" x14ac:dyDescent="0.3">
      <c r="A11" s="40">
        <f t="shared" si="0"/>
        <v>9</v>
      </c>
      <c r="B11" s="41" t="s">
        <v>161</v>
      </c>
      <c r="C11" s="42" t="s">
        <v>134</v>
      </c>
      <c r="D11" s="195">
        <v>9.49</v>
      </c>
      <c r="E11" s="43">
        <f>TRUNC((D11*'Salários.VA.VT.QteDias.LDI.T'!$G$48),2)</f>
        <v>0.97</v>
      </c>
      <c r="F11" s="43">
        <f>TRUNC((((D11+E11)/(1-'Salários.VA.VT.QteDias.LDI.T'!$G$56))*'Salários.VA.VT.QteDias.LDI.T'!$G$56),2)</f>
        <v>0.99</v>
      </c>
      <c r="G11" s="43">
        <f t="shared" si="1"/>
        <v>11.45</v>
      </c>
      <c r="H11" s="42"/>
      <c r="I11" s="42">
        <v>3</v>
      </c>
      <c r="J11" s="43">
        <f t="shared" si="2"/>
        <v>34.35</v>
      </c>
    </row>
    <row r="12" spans="1:10" ht="19.5" customHeight="1" x14ac:dyDescent="0.3">
      <c r="A12" s="40">
        <f t="shared" si="0"/>
        <v>10</v>
      </c>
      <c r="B12" s="41" t="s">
        <v>162</v>
      </c>
      <c r="C12" s="42" t="s">
        <v>134</v>
      </c>
      <c r="D12" s="195">
        <v>3.32</v>
      </c>
      <c r="E12" s="43">
        <f>TRUNC((D12*'Salários.VA.VT.QteDias.LDI.T'!$G$48),2)</f>
        <v>0.34</v>
      </c>
      <c r="F12" s="43">
        <f>TRUNC((((D12+E12)/(1-'Salários.VA.VT.QteDias.LDI.T'!$G$56))*'Salários.VA.VT.QteDias.LDI.T'!$G$56),2)</f>
        <v>0.34</v>
      </c>
      <c r="G12" s="43">
        <f t="shared" si="1"/>
        <v>4</v>
      </c>
      <c r="H12" s="42"/>
      <c r="I12" s="42">
        <v>15</v>
      </c>
      <c r="J12" s="43">
        <f t="shared" si="2"/>
        <v>60</v>
      </c>
    </row>
    <row r="13" spans="1:10" ht="19.5" customHeight="1" x14ac:dyDescent="0.3">
      <c r="A13" s="40">
        <f t="shared" si="0"/>
        <v>11</v>
      </c>
      <c r="B13" s="41" t="s">
        <v>163</v>
      </c>
      <c r="C13" s="42" t="s">
        <v>134</v>
      </c>
      <c r="D13" s="195">
        <v>2.99</v>
      </c>
      <c r="E13" s="43">
        <f>TRUNC((D13*'Salários.VA.VT.QteDias.LDI.T'!$G$48),2)</f>
        <v>0.3</v>
      </c>
      <c r="F13" s="43">
        <f>TRUNC((((D13+E13)/(1-'Salários.VA.VT.QteDias.LDI.T'!$G$56))*'Salários.VA.VT.QteDias.LDI.T'!$G$56),2)</f>
        <v>0.31</v>
      </c>
      <c r="G13" s="43">
        <f t="shared" si="1"/>
        <v>3.6</v>
      </c>
      <c r="H13" s="42"/>
      <c r="I13" s="42">
        <v>15</v>
      </c>
      <c r="J13" s="43">
        <f t="shared" si="2"/>
        <v>54</v>
      </c>
    </row>
    <row r="14" spans="1:10" ht="19.5" customHeight="1" x14ac:dyDescent="0.3">
      <c r="A14" s="40">
        <f t="shared" si="0"/>
        <v>12</v>
      </c>
      <c r="B14" s="41" t="s">
        <v>164</v>
      </c>
      <c r="C14" s="42" t="s">
        <v>134</v>
      </c>
      <c r="D14" s="195">
        <v>18.27</v>
      </c>
      <c r="E14" s="43">
        <f>TRUNC((D14*'Salários.VA.VT.QteDias.LDI.T'!$G$48),2)</f>
        <v>1.88</v>
      </c>
      <c r="F14" s="43">
        <f>TRUNC((((D14+E14)/(1-'Salários.VA.VT.QteDias.LDI.T'!$G$56))*'Salários.VA.VT.QteDias.LDI.T'!$G$56),2)</f>
        <v>1.9</v>
      </c>
      <c r="G14" s="43">
        <f t="shared" si="1"/>
        <v>22.05</v>
      </c>
      <c r="H14" s="42"/>
      <c r="I14" s="42">
        <v>2</v>
      </c>
      <c r="J14" s="43">
        <f t="shared" si="2"/>
        <v>44.1</v>
      </c>
    </row>
    <row r="15" spans="1:10" ht="19.5" customHeight="1" x14ac:dyDescent="0.3">
      <c r="A15" s="40">
        <f t="shared" si="0"/>
        <v>13</v>
      </c>
      <c r="B15" s="41" t="s">
        <v>165</v>
      </c>
      <c r="C15" s="42" t="s">
        <v>134</v>
      </c>
      <c r="D15" s="195">
        <v>2.52</v>
      </c>
      <c r="E15" s="43">
        <f>TRUNC((D15*'Salários.VA.VT.QteDias.LDI.T'!$G$48),2)</f>
        <v>0.25</v>
      </c>
      <c r="F15" s="43">
        <f>TRUNC((((D15+E15)/(1-'Salários.VA.VT.QteDias.LDI.T'!$G$56))*'Salários.VA.VT.QteDias.LDI.T'!$G$56),2)</f>
        <v>0.26</v>
      </c>
      <c r="G15" s="43">
        <f t="shared" si="1"/>
        <v>3.03</v>
      </c>
      <c r="H15" s="42"/>
      <c r="I15" s="42">
        <v>15</v>
      </c>
      <c r="J15" s="43">
        <f t="shared" si="2"/>
        <v>45.45</v>
      </c>
    </row>
    <row r="16" spans="1:10" ht="19.5" customHeight="1" x14ac:dyDescent="0.3">
      <c r="A16" s="40">
        <f t="shared" si="0"/>
        <v>14</v>
      </c>
      <c r="B16" s="41" t="s">
        <v>166</v>
      </c>
      <c r="C16" s="42" t="s">
        <v>134</v>
      </c>
      <c r="D16" s="195">
        <v>17.36</v>
      </c>
      <c r="E16" s="43">
        <f>TRUNC((D16*'Salários.VA.VT.QteDias.LDI.T'!$G$48),2)</f>
        <v>1.78</v>
      </c>
      <c r="F16" s="43">
        <f>TRUNC((((D16+E16)/(1-'Salários.VA.VT.QteDias.LDI.T'!$G$56))*'Salários.VA.VT.QteDias.LDI.T'!$G$56),2)</f>
        <v>1.81</v>
      </c>
      <c r="G16" s="43">
        <f t="shared" si="1"/>
        <v>20.95</v>
      </c>
      <c r="H16" s="42"/>
      <c r="I16" s="42">
        <v>2</v>
      </c>
      <c r="J16" s="43">
        <f t="shared" si="2"/>
        <v>41.9</v>
      </c>
    </row>
    <row r="17" spans="1:10" ht="19.5" customHeight="1" x14ac:dyDescent="0.3">
      <c r="A17" s="40">
        <f t="shared" si="0"/>
        <v>15</v>
      </c>
      <c r="B17" s="41" t="s">
        <v>167</v>
      </c>
      <c r="C17" s="42" t="s">
        <v>168</v>
      </c>
      <c r="D17" s="195">
        <v>48.27</v>
      </c>
      <c r="E17" s="43">
        <f>TRUNC((D17*'Salários.VA.VT.QteDias.LDI.T'!$G$48),2)</f>
        <v>4.97</v>
      </c>
      <c r="F17" s="43">
        <f>TRUNC((((D17+E17)/(1-'Salários.VA.VT.QteDias.LDI.T'!$G$56))*'Salários.VA.VT.QteDias.LDI.T'!$G$56),2)</f>
        <v>5.04</v>
      </c>
      <c r="G17" s="43">
        <f t="shared" si="1"/>
        <v>58.28</v>
      </c>
      <c r="H17" s="42"/>
      <c r="I17" s="42">
        <v>5</v>
      </c>
      <c r="J17" s="43">
        <f t="shared" si="2"/>
        <v>291.39999999999998</v>
      </c>
    </row>
    <row r="18" spans="1:10" ht="19.5" customHeight="1" x14ac:dyDescent="0.3">
      <c r="A18" s="40">
        <f t="shared" si="0"/>
        <v>16</v>
      </c>
      <c r="B18" s="41" t="s">
        <v>169</v>
      </c>
      <c r="C18" s="42" t="s">
        <v>134</v>
      </c>
      <c r="D18" s="195">
        <v>4.3</v>
      </c>
      <c r="E18" s="43">
        <f>TRUNC((D18*'Salários.VA.VT.QteDias.LDI.T'!$G$48),2)</f>
        <v>0.44</v>
      </c>
      <c r="F18" s="43">
        <f>TRUNC((((D18+E18)/(1-'Salários.VA.VT.QteDias.LDI.T'!$G$56))*'Salários.VA.VT.QteDias.LDI.T'!$G$56),2)</f>
        <v>0.44</v>
      </c>
      <c r="G18" s="43">
        <f t="shared" si="1"/>
        <v>5.18</v>
      </c>
      <c r="H18" s="42"/>
      <c r="I18" s="42">
        <v>30</v>
      </c>
      <c r="J18" s="43">
        <f t="shared" si="2"/>
        <v>155.4</v>
      </c>
    </row>
    <row r="19" spans="1:10" ht="19.5" customHeight="1" x14ac:dyDescent="0.3">
      <c r="A19" s="40">
        <f t="shared" si="0"/>
        <v>17</v>
      </c>
      <c r="B19" s="41" t="s">
        <v>170</v>
      </c>
      <c r="C19" s="42" t="s">
        <v>171</v>
      </c>
      <c r="D19" s="195">
        <v>2.56</v>
      </c>
      <c r="E19" s="43">
        <f>TRUNC((D19*'Salários.VA.VT.QteDias.LDI.T'!$G$48),2)</f>
        <v>0.26</v>
      </c>
      <c r="F19" s="43">
        <f>TRUNC((((D19+E19)/(1-'Salários.VA.VT.QteDias.LDI.T'!$G$56))*'Salários.VA.VT.QteDias.LDI.T'!$G$56),2)</f>
        <v>0.26</v>
      </c>
      <c r="G19" s="43">
        <f t="shared" si="1"/>
        <v>3.08</v>
      </c>
      <c r="H19" s="42" t="s">
        <v>154</v>
      </c>
      <c r="I19" s="42"/>
      <c r="J19" s="43">
        <f t="shared" si="2"/>
        <v>0</v>
      </c>
    </row>
    <row r="20" spans="1:10" ht="19.5" customHeight="1" x14ac:dyDescent="0.3">
      <c r="A20" s="40">
        <f t="shared" si="0"/>
        <v>18</v>
      </c>
      <c r="B20" s="41" t="s">
        <v>172</v>
      </c>
      <c r="C20" s="42" t="s">
        <v>171</v>
      </c>
      <c r="D20" s="195">
        <v>7.18</v>
      </c>
      <c r="E20" s="43">
        <f>TRUNC((D20*'Salários.VA.VT.QteDias.LDI.T'!$G$48),2)</f>
        <v>0.73</v>
      </c>
      <c r="F20" s="43">
        <f>TRUNC((((D20+E20)/(1-'Salários.VA.VT.QteDias.LDI.T'!$G$56))*'Salários.VA.VT.QteDias.LDI.T'!$G$56),2)</f>
        <v>0.74</v>
      </c>
      <c r="G20" s="43">
        <f t="shared" si="1"/>
        <v>8.65</v>
      </c>
      <c r="H20" s="42" t="s">
        <v>154</v>
      </c>
      <c r="I20" s="42"/>
      <c r="J20" s="43">
        <f t="shared" si="2"/>
        <v>0</v>
      </c>
    </row>
    <row r="21" spans="1:10" ht="19.5" customHeight="1" x14ac:dyDescent="0.3">
      <c r="A21" s="40">
        <f t="shared" si="0"/>
        <v>19</v>
      </c>
      <c r="B21" s="41" t="s">
        <v>173</v>
      </c>
      <c r="C21" s="42" t="s">
        <v>171</v>
      </c>
      <c r="D21" s="195">
        <v>6.19</v>
      </c>
      <c r="E21" s="43">
        <f>TRUNC((D21*'Salários.VA.VT.QteDias.LDI.T'!$G$48),2)</f>
        <v>0.63</v>
      </c>
      <c r="F21" s="43">
        <f>TRUNC((((D21+E21)/(1-'Salários.VA.VT.QteDias.LDI.T'!$G$56))*'Salários.VA.VT.QteDias.LDI.T'!$G$56),2)</f>
        <v>0.64</v>
      </c>
      <c r="G21" s="43">
        <f t="shared" si="1"/>
        <v>7.46</v>
      </c>
      <c r="H21" s="42" t="s">
        <v>154</v>
      </c>
      <c r="I21" s="42"/>
      <c r="J21" s="43">
        <f t="shared" si="2"/>
        <v>0</v>
      </c>
    </row>
    <row r="22" spans="1:10" ht="19.5" customHeight="1" x14ac:dyDescent="0.3">
      <c r="A22" s="40">
        <f t="shared" si="0"/>
        <v>20</v>
      </c>
      <c r="B22" s="41" t="s">
        <v>174</v>
      </c>
      <c r="C22" s="42" t="s">
        <v>171</v>
      </c>
      <c r="D22" s="195">
        <v>7.68</v>
      </c>
      <c r="E22" s="43">
        <f>TRUNC((D22*'Salários.VA.VT.QteDias.LDI.T'!$G$48),2)</f>
        <v>0.79</v>
      </c>
      <c r="F22" s="43">
        <f>TRUNC((((D22+E22)/(1-'Salários.VA.VT.QteDias.LDI.T'!$G$56))*'Salários.VA.VT.QteDias.LDI.T'!$G$56),2)</f>
        <v>0.8</v>
      </c>
      <c r="G22" s="43">
        <f t="shared" si="1"/>
        <v>9.27</v>
      </c>
      <c r="H22" s="42"/>
      <c r="I22" s="42">
        <v>180</v>
      </c>
      <c r="J22" s="43">
        <f t="shared" si="2"/>
        <v>1668.6</v>
      </c>
    </row>
    <row r="23" spans="1:10" ht="19.5" customHeight="1" x14ac:dyDescent="0.3">
      <c r="A23" s="40">
        <f t="shared" si="0"/>
        <v>21</v>
      </c>
      <c r="B23" s="41" t="s">
        <v>175</v>
      </c>
      <c r="C23" s="42" t="s">
        <v>134</v>
      </c>
      <c r="D23" s="195">
        <v>41.31</v>
      </c>
      <c r="E23" s="43">
        <f>TRUNC((D23*'Salários.VA.VT.QteDias.LDI.T'!$G$48),2)</f>
        <v>4.25</v>
      </c>
      <c r="F23" s="43">
        <f>TRUNC((((D23+E23)/(1-'Salários.VA.VT.QteDias.LDI.T'!$G$56))*'Salários.VA.VT.QteDias.LDI.T'!$G$56),2)</f>
        <v>4.3099999999999996</v>
      </c>
      <c r="G23" s="43">
        <f t="shared" si="1"/>
        <v>49.87</v>
      </c>
      <c r="H23" s="42" t="s">
        <v>154</v>
      </c>
      <c r="I23" s="42"/>
      <c r="J23" s="43">
        <f t="shared" si="2"/>
        <v>0</v>
      </c>
    </row>
    <row r="24" spans="1:10" ht="19.5" customHeight="1" x14ac:dyDescent="0.3">
      <c r="A24" s="40">
        <f t="shared" si="0"/>
        <v>22</v>
      </c>
      <c r="B24" s="41" t="s">
        <v>176</v>
      </c>
      <c r="C24" s="42" t="s">
        <v>134</v>
      </c>
      <c r="D24" s="195">
        <v>28.81</v>
      </c>
      <c r="E24" s="43">
        <f>TRUNC((D24*'Salários.VA.VT.QteDias.LDI.T'!$G$48),2)</f>
        <v>2.96</v>
      </c>
      <c r="F24" s="43">
        <f>TRUNC((((D24+E24)/(1-'Salários.VA.VT.QteDias.LDI.T'!$G$56))*'Salários.VA.VT.QteDias.LDI.T'!$G$56),2)</f>
        <v>3</v>
      </c>
      <c r="G24" s="43">
        <f t="shared" si="1"/>
        <v>34.770000000000003</v>
      </c>
      <c r="H24" s="42" t="s">
        <v>154</v>
      </c>
      <c r="I24" s="42"/>
      <c r="J24" s="43">
        <f t="shared" si="2"/>
        <v>0</v>
      </c>
    </row>
    <row r="25" spans="1:10" ht="19.5" customHeight="1" x14ac:dyDescent="0.3">
      <c r="A25" s="40">
        <f t="shared" si="0"/>
        <v>23</v>
      </c>
      <c r="B25" s="41" t="s">
        <v>177</v>
      </c>
      <c r="C25" s="42" t="s">
        <v>134</v>
      </c>
      <c r="D25" s="195">
        <v>87.5</v>
      </c>
      <c r="E25" s="43">
        <f>TRUNC((D25*'Salários.VA.VT.QteDias.LDI.T'!$G$48),2)</f>
        <v>9.01</v>
      </c>
      <c r="F25" s="43">
        <f>TRUNC((((D25+E25)/(1-'Salários.VA.VT.QteDias.LDI.T'!$G$56))*'Salários.VA.VT.QteDias.LDI.T'!$G$56),2)</f>
        <v>9.1300000000000008</v>
      </c>
      <c r="G25" s="43">
        <f t="shared" si="1"/>
        <v>105.64</v>
      </c>
      <c r="H25" s="42"/>
      <c r="I25" s="42">
        <v>3</v>
      </c>
      <c r="J25" s="43">
        <f t="shared" si="2"/>
        <v>316.92</v>
      </c>
    </row>
    <row r="26" spans="1:10" ht="19.5" customHeight="1" x14ac:dyDescent="0.3">
      <c r="A26" s="40">
        <f t="shared" si="0"/>
        <v>24</v>
      </c>
      <c r="B26" s="41" t="s">
        <v>178</v>
      </c>
      <c r="C26" s="42" t="s">
        <v>134</v>
      </c>
      <c r="D26" s="195">
        <v>14.33</v>
      </c>
      <c r="E26" s="43">
        <f>TRUNC((D26*'Salários.VA.VT.QteDias.LDI.T'!$G$48),2)</f>
        <v>1.47</v>
      </c>
      <c r="F26" s="43">
        <f>TRUNC((((D26+E26)/(1-'Salários.VA.VT.QteDias.LDI.T'!$G$56))*'Salários.VA.VT.QteDias.LDI.T'!$G$56),2)</f>
        <v>1.49</v>
      </c>
      <c r="G26" s="43">
        <f t="shared" si="1"/>
        <v>17.29</v>
      </c>
      <c r="H26" s="42"/>
      <c r="I26" s="42">
        <v>1</v>
      </c>
      <c r="J26" s="43">
        <f t="shared" si="2"/>
        <v>17.29</v>
      </c>
    </row>
    <row r="27" spans="1:10" ht="19.5" customHeight="1" x14ac:dyDescent="0.3">
      <c r="A27" s="40">
        <f t="shared" si="0"/>
        <v>25</v>
      </c>
      <c r="B27" s="41" t="s">
        <v>179</v>
      </c>
      <c r="C27" s="42" t="s">
        <v>134</v>
      </c>
      <c r="D27" s="195">
        <v>9.4600000000000009</v>
      </c>
      <c r="E27" s="43">
        <f>TRUNC((D27*'Salários.VA.VT.QteDias.LDI.T'!$G$48),2)</f>
        <v>0.97</v>
      </c>
      <c r="F27" s="43">
        <f>TRUNC((((D27+E27)/(1-'Salários.VA.VT.QteDias.LDI.T'!$G$56))*'Salários.VA.VT.QteDias.LDI.T'!$G$56),2)</f>
        <v>0.98</v>
      </c>
      <c r="G27" s="43">
        <f t="shared" si="1"/>
        <v>11.41</v>
      </c>
      <c r="H27" s="42"/>
      <c r="I27" s="42">
        <v>1</v>
      </c>
      <c r="J27" s="43">
        <f t="shared" si="2"/>
        <v>11.41</v>
      </c>
    </row>
    <row r="28" spans="1:10" ht="19.5" customHeight="1" x14ac:dyDescent="0.3">
      <c r="A28" s="40">
        <f t="shared" si="0"/>
        <v>26</v>
      </c>
      <c r="B28" s="41" t="s">
        <v>180</v>
      </c>
      <c r="C28" s="42" t="s">
        <v>134</v>
      </c>
      <c r="D28" s="195">
        <v>62.87</v>
      </c>
      <c r="E28" s="43">
        <f>TRUNC((D28*'Salários.VA.VT.QteDias.LDI.T'!$G$48),2)</f>
        <v>6.47</v>
      </c>
      <c r="F28" s="43">
        <f>TRUNC((((D28+E28)/(1-'Salários.VA.VT.QteDias.LDI.T'!$G$56))*'Salários.VA.VT.QteDias.LDI.T'!$G$56),2)</f>
        <v>6.56</v>
      </c>
      <c r="G28" s="43">
        <f t="shared" si="1"/>
        <v>75.900000000000006</v>
      </c>
      <c r="H28" s="42"/>
      <c r="I28" s="42">
        <v>1</v>
      </c>
      <c r="J28" s="43">
        <f t="shared" si="2"/>
        <v>75.900000000000006</v>
      </c>
    </row>
    <row r="29" spans="1:10" ht="19.5" customHeight="1" x14ac:dyDescent="0.3">
      <c r="A29" s="40">
        <f t="shared" si="0"/>
        <v>27</v>
      </c>
      <c r="B29" s="41" t="s">
        <v>181</v>
      </c>
      <c r="C29" s="42" t="s">
        <v>134</v>
      </c>
      <c r="D29" s="195">
        <v>1.93</v>
      </c>
      <c r="E29" s="43">
        <f>TRUNC((D29*'Salários.VA.VT.QteDias.LDI.T'!$G$48),2)</f>
        <v>0.19</v>
      </c>
      <c r="F29" s="43">
        <f>TRUNC((((D29+E29)/(1-'Salários.VA.VT.QteDias.LDI.T'!$G$56))*'Salários.VA.VT.QteDias.LDI.T'!$G$56),2)</f>
        <v>0.2</v>
      </c>
      <c r="G29" s="43">
        <f t="shared" si="1"/>
        <v>2.3199999999999998</v>
      </c>
      <c r="H29" s="42"/>
      <c r="I29" s="42">
        <v>30</v>
      </c>
      <c r="J29" s="43">
        <f t="shared" si="2"/>
        <v>69.599999999999994</v>
      </c>
    </row>
    <row r="30" spans="1:10" ht="19.5" customHeight="1" x14ac:dyDescent="0.3">
      <c r="A30" s="40">
        <f t="shared" si="0"/>
        <v>28</v>
      </c>
      <c r="B30" s="41" t="s">
        <v>182</v>
      </c>
      <c r="C30" s="42" t="s">
        <v>134</v>
      </c>
      <c r="D30" s="195">
        <v>25.46</v>
      </c>
      <c r="E30" s="43">
        <f>TRUNC((D30*'Salários.VA.VT.QteDias.LDI.T'!$G$48),2)</f>
        <v>2.62</v>
      </c>
      <c r="F30" s="43">
        <f>TRUNC((((D30+E30)/(1-'Salários.VA.VT.QteDias.LDI.T'!$G$56))*'Salários.VA.VT.QteDias.LDI.T'!$G$56),2)</f>
        <v>2.65</v>
      </c>
      <c r="G30" s="43">
        <f t="shared" si="1"/>
        <v>30.73</v>
      </c>
      <c r="H30" s="42"/>
      <c r="I30" s="42">
        <v>2</v>
      </c>
      <c r="J30" s="43">
        <f t="shared" si="2"/>
        <v>61.46</v>
      </c>
    </row>
    <row r="31" spans="1:10" ht="19.5" customHeight="1" x14ac:dyDescent="0.3">
      <c r="A31" s="40">
        <f t="shared" si="0"/>
        <v>29</v>
      </c>
      <c r="B31" s="41" t="s">
        <v>183</v>
      </c>
      <c r="C31" s="42" t="s">
        <v>134</v>
      </c>
      <c r="D31" s="195">
        <v>4.62</v>
      </c>
      <c r="E31" s="43">
        <f>TRUNC((D31*'Salários.VA.VT.QteDias.LDI.T'!$G$48),2)</f>
        <v>0.47</v>
      </c>
      <c r="F31" s="43">
        <f>TRUNC((((D31+E31)/(1-'Salários.VA.VT.QteDias.LDI.T'!$G$56))*'Salários.VA.VT.QteDias.LDI.T'!$G$56),2)</f>
        <v>0.48</v>
      </c>
      <c r="G31" s="43">
        <f t="shared" si="1"/>
        <v>5.57</v>
      </c>
      <c r="H31" s="42"/>
      <c r="I31" s="42">
        <v>30</v>
      </c>
      <c r="J31" s="43">
        <f t="shared" si="2"/>
        <v>167.1</v>
      </c>
    </row>
    <row r="32" spans="1:10" ht="19.5" customHeight="1" x14ac:dyDescent="0.3">
      <c r="A32" s="40">
        <f t="shared" si="0"/>
        <v>30</v>
      </c>
      <c r="B32" s="41" t="s">
        <v>184</v>
      </c>
      <c r="C32" s="42" t="s">
        <v>171</v>
      </c>
      <c r="D32" s="195">
        <v>5.33</v>
      </c>
      <c r="E32" s="43">
        <f>TRUNC((D32*'Salários.VA.VT.QteDias.LDI.T'!$G$48),2)</f>
        <v>0.54</v>
      </c>
      <c r="F32" s="43">
        <f>TRUNC((((D32+E32)/(1-'Salários.VA.VT.QteDias.LDI.T'!$G$56))*'Salários.VA.VT.QteDias.LDI.T'!$G$56),2)</f>
        <v>0.55000000000000004</v>
      </c>
      <c r="G32" s="43">
        <f t="shared" si="1"/>
        <v>6.42</v>
      </c>
      <c r="H32" s="42"/>
      <c r="I32" s="42">
        <v>60</v>
      </c>
      <c r="J32" s="43">
        <f t="shared" si="2"/>
        <v>385.2</v>
      </c>
    </row>
    <row r="33" spans="1:10" ht="19.5" customHeight="1" x14ac:dyDescent="0.3">
      <c r="A33" s="40">
        <f t="shared" si="0"/>
        <v>31</v>
      </c>
      <c r="B33" s="41" t="s">
        <v>185</v>
      </c>
      <c r="C33" s="42" t="s">
        <v>186</v>
      </c>
      <c r="D33" s="195">
        <v>3.45</v>
      </c>
      <c r="E33" s="43">
        <f>TRUNC((D33*'Salários.VA.VT.QteDias.LDI.T'!$G$48),2)</f>
        <v>0.35</v>
      </c>
      <c r="F33" s="43">
        <f>TRUNC((((D33+E33)/(1-'Salários.VA.VT.QteDias.LDI.T'!$G$56))*'Salários.VA.VT.QteDias.LDI.T'!$G$56),2)</f>
        <v>0.35</v>
      </c>
      <c r="G33" s="43">
        <f t="shared" si="1"/>
        <v>4.1500000000000004</v>
      </c>
      <c r="H33" s="42"/>
      <c r="I33" s="42">
        <v>30</v>
      </c>
      <c r="J33" s="43">
        <f t="shared" si="2"/>
        <v>124.5</v>
      </c>
    </row>
    <row r="34" spans="1:10" ht="19.5" customHeight="1" x14ac:dyDescent="0.3">
      <c r="A34" s="40">
        <f t="shared" si="0"/>
        <v>32</v>
      </c>
      <c r="B34" s="41" t="s">
        <v>187</v>
      </c>
      <c r="C34" s="42" t="s">
        <v>186</v>
      </c>
      <c r="D34" s="195">
        <v>3.44</v>
      </c>
      <c r="E34" s="43">
        <f>TRUNC((D34*'Salários.VA.VT.QteDias.LDI.T'!$G$48),2)</f>
        <v>0.35</v>
      </c>
      <c r="F34" s="43">
        <f>TRUNC((((D34+E34)/(1-'Salários.VA.VT.QteDias.LDI.T'!$G$56))*'Salários.VA.VT.QteDias.LDI.T'!$G$56),2)</f>
        <v>0.35</v>
      </c>
      <c r="G34" s="43">
        <f t="shared" si="1"/>
        <v>4.1399999999999997</v>
      </c>
      <c r="H34" s="42"/>
      <c r="I34" s="42">
        <v>30</v>
      </c>
      <c r="J34" s="43">
        <f t="shared" si="2"/>
        <v>124.2</v>
      </c>
    </row>
    <row r="35" spans="1:10" ht="19.5" customHeight="1" x14ac:dyDescent="0.3">
      <c r="A35" s="40">
        <f t="shared" ref="A35:A61" si="3">ROW() - ROW($A$2)</f>
        <v>33</v>
      </c>
      <c r="B35" s="41" t="s">
        <v>188</v>
      </c>
      <c r="C35" s="42" t="s">
        <v>186</v>
      </c>
      <c r="D35" s="195">
        <v>97.21</v>
      </c>
      <c r="E35" s="43">
        <f>TRUNC((D35*'Salários.VA.VT.QteDias.LDI.T'!$G$48),2)</f>
        <v>10.01</v>
      </c>
      <c r="F35" s="43">
        <f>TRUNC((((D35+E35)/(1-'Salários.VA.VT.QteDias.LDI.T'!$G$56))*'Salários.VA.VT.QteDias.LDI.T'!$G$56),2)</f>
        <v>10.15</v>
      </c>
      <c r="G35" s="43">
        <f t="shared" ref="G35:G61" si="4">TRUNC((D35+E35+F35),2)</f>
        <v>117.37</v>
      </c>
      <c r="H35" s="42"/>
      <c r="I35" s="42">
        <v>4</v>
      </c>
      <c r="J35" s="43">
        <f t="shared" ref="J35:J61" si="5">TRUNC((G35*I35),2)</f>
        <v>469.48</v>
      </c>
    </row>
    <row r="36" spans="1:10" ht="19.5" customHeight="1" x14ac:dyDescent="0.3">
      <c r="A36" s="42">
        <f t="shared" si="3"/>
        <v>34</v>
      </c>
      <c r="B36" s="41" t="s">
        <v>189</v>
      </c>
      <c r="C36" s="42" t="s">
        <v>186</v>
      </c>
      <c r="D36" s="195">
        <v>121.57</v>
      </c>
      <c r="E36" s="43">
        <f>TRUNC((D36*'Salários.VA.VT.QteDias.LDI.T'!$G$48),2)</f>
        <v>12.52</v>
      </c>
      <c r="F36" s="43">
        <f>TRUNC((((D36+E36)/(1-'Salários.VA.VT.QteDias.LDI.T'!$G$56))*'Salários.VA.VT.QteDias.LDI.T'!$G$56),2)</f>
        <v>12.69</v>
      </c>
      <c r="G36" s="43">
        <f t="shared" si="4"/>
        <v>146.78</v>
      </c>
      <c r="H36" s="42" t="s">
        <v>154</v>
      </c>
      <c r="I36" s="42"/>
      <c r="J36" s="43">
        <f t="shared" si="5"/>
        <v>0</v>
      </c>
    </row>
    <row r="37" spans="1:10" ht="19.5" customHeight="1" x14ac:dyDescent="0.3">
      <c r="A37" s="42">
        <f t="shared" si="3"/>
        <v>35</v>
      </c>
      <c r="B37" s="41" t="s">
        <v>190</v>
      </c>
      <c r="C37" s="42" t="s">
        <v>186</v>
      </c>
      <c r="D37" s="195">
        <v>131.30000000000001</v>
      </c>
      <c r="E37" s="43">
        <f>TRUNC((D37*'Salários.VA.VT.QteDias.LDI.T'!$G$48),2)</f>
        <v>13.52</v>
      </c>
      <c r="F37" s="43">
        <f>TRUNC((((D37+E37)/(1-'Salários.VA.VT.QteDias.LDI.T'!$G$56))*'Salários.VA.VT.QteDias.LDI.T'!$G$56),2)</f>
        <v>13.71</v>
      </c>
      <c r="G37" s="43">
        <f t="shared" si="4"/>
        <v>158.53</v>
      </c>
      <c r="H37" s="42"/>
      <c r="I37" s="42">
        <v>1</v>
      </c>
      <c r="J37" s="43">
        <f t="shared" si="5"/>
        <v>158.53</v>
      </c>
    </row>
    <row r="38" spans="1:10" ht="19.5" customHeight="1" x14ac:dyDescent="0.3">
      <c r="A38" s="42">
        <f t="shared" si="3"/>
        <v>36</v>
      </c>
      <c r="B38" s="41" t="s">
        <v>191</v>
      </c>
      <c r="C38" s="42" t="s">
        <v>171</v>
      </c>
      <c r="D38" s="195">
        <v>5.38</v>
      </c>
      <c r="E38" s="43">
        <f>TRUNC((D38*'Salários.VA.VT.QteDias.LDI.T'!$G$48),2)</f>
        <v>0.55000000000000004</v>
      </c>
      <c r="F38" s="43">
        <f>TRUNC((((D38+E38)/(1-'Salários.VA.VT.QteDias.LDI.T'!$G$56))*'Salários.VA.VT.QteDias.LDI.T'!$G$56),2)</f>
        <v>0.56000000000000005</v>
      </c>
      <c r="G38" s="43">
        <f t="shared" si="4"/>
        <v>6.49</v>
      </c>
      <c r="H38" s="42"/>
      <c r="I38" s="42">
        <v>288</v>
      </c>
      <c r="J38" s="43">
        <f t="shared" si="5"/>
        <v>1869.12</v>
      </c>
    </row>
    <row r="39" spans="1:10" ht="19.5" customHeight="1" x14ac:dyDescent="0.3">
      <c r="A39" s="42">
        <f t="shared" si="3"/>
        <v>37</v>
      </c>
      <c r="B39" s="47" t="s">
        <v>192</v>
      </c>
      <c r="C39" s="42" t="s">
        <v>134</v>
      </c>
      <c r="D39" s="195">
        <v>2.11</v>
      </c>
      <c r="E39" s="43">
        <f>TRUNC((D39*'Salários.VA.VT.QteDias.LDI.T'!$G$48),2)</f>
        <v>0.21</v>
      </c>
      <c r="F39" s="43">
        <f>TRUNC((((D39+E39)/(1-'Salários.VA.VT.QteDias.LDI.T'!$G$56))*'Salários.VA.VT.QteDias.LDI.T'!$G$56),2)</f>
        <v>0.21</v>
      </c>
      <c r="G39" s="43">
        <f t="shared" si="4"/>
        <v>2.5299999999999998</v>
      </c>
      <c r="H39" s="42"/>
      <c r="I39" s="42">
        <v>12</v>
      </c>
      <c r="J39" s="43">
        <f t="shared" si="5"/>
        <v>30.36</v>
      </c>
    </row>
    <row r="40" spans="1:10" ht="19.5" customHeight="1" x14ac:dyDescent="0.3">
      <c r="A40" s="42">
        <f t="shared" si="3"/>
        <v>38</v>
      </c>
      <c r="B40" s="48" t="s">
        <v>193</v>
      </c>
      <c r="C40" s="42" t="s">
        <v>134</v>
      </c>
      <c r="D40" s="195">
        <v>4.1900000000000004</v>
      </c>
      <c r="E40" s="43">
        <f>TRUNC((D40*'Salários.VA.VT.QteDias.LDI.T'!$G$48),2)</f>
        <v>0.43</v>
      </c>
      <c r="F40" s="43">
        <f>TRUNC((((D40+E40)/(1-'Salários.VA.VT.QteDias.LDI.T'!$G$56))*'Salários.VA.VT.QteDias.LDI.T'!$G$56),2)</f>
        <v>0.43</v>
      </c>
      <c r="G40" s="43">
        <f t="shared" si="4"/>
        <v>5.05</v>
      </c>
      <c r="H40" s="42"/>
      <c r="I40" s="42">
        <v>6</v>
      </c>
      <c r="J40" s="43">
        <f t="shared" si="5"/>
        <v>30.3</v>
      </c>
    </row>
    <row r="41" spans="1:10" ht="19.5" customHeight="1" x14ac:dyDescent="0.3">
      <c r="A41" s="42">
        <f t="shared" si="3"/>
        <v>39</v>
      </c>
      <c r="B41" s="26" t="s">
        <v>194</v>
      </c>
      <c r="C41" s="42" t="s">
        <v>134</v>
      </c>
      <c r="D41" s="195">
        <v>24.1</v>
      </c>
      <c r="E41" s="43">
        <f>TRUNC((D41*'Salários.VA.VT.QteDias.LDI.T'!$G$48),2)</f>
        <v>2.48</v>
      </c>
      <c r="F41" s="43">
        <f>TRUNC((((D41+E41)/(1-'Salários.VA.VT.QteDias.LDI.T'!$G$56))*'Salários.VA.VT.QteDias.LDI.T'!$G$56),2)</f>
        <v>2.5099999999999998</v>
      </c>
      <c r="G41" s="43">
        <f t="shared" si="4"/>
        <v>29.09</v>
      </c>
      <c r="H41" s="42"/>
      <c r="I41" s="42">
        <v>1</v>
      </c>
      <c r="J41" s="43">
        <f t="shared" si="5"/>
        <v>29.09</v>
      </c>
    </row>
    <row r="42" spans="1:10" ht="19.5" customHeight="1" x14ac:dyDescent="0.3">
      <c r="A42" s="42">
        <f t="shared" si="3"/>
        <v>40</v>
      </c>
      <c r="B42" s="41" t="s">
        <v>195</v>
      </c>
      <c r="C42" s="42" t="s">
        <v>134</v>
      </c>
      <c r="D42" s="195">
        <v>76.55</v>
      </c>
      <c r="E42" s="43">
        <f>TRUNC((D42*'Salários.VA.VT.QteDias.LDI.T'!$G$48),2)</f>
        <v>7.88</v>
      </c>
      <c r="F42" s="43">
        <f>TRUNC((((D42+E42)/(1-'Salários.VA.VT.QteDias.LDI.T'!$G$56))*'Salários.VA.VT.QteDias.LDI.T'!$G$56),2)</f>
        <v>7.99</v>
      </c>
      <c r="G42" s="43">
        <f t="shared" si="4"/>
        <v>92.42</v>
      </c>
      <c r="H42" s="42"/>
      <c r="I42" s="42">
        <v>3</v>
      </c>
      <c r="J42" s="43">
        <f t="shared" si="5"/>
        <v>277.26</v>
      </c>
    </row>
    <row r="43" spans="1:10" ht="19.5" customHeight="1" x14ac:dyDescent="0.3">
      <c r="A43" s="42">
        <f t="shared" si="3"/>
        <v>41</v>
      </c>
      <c r="B43" s="41" t="s">
        <v>196</v>
      </c>
      <c r="C43" s="42" t="s">
        <v>197</v>
      </c>
      <c r="D43" s="195">
        <v>50.65</v>
      </c>
      <c r="E43" s="43">
        <f>TRUNC((D43*'Salários.VA.VT.QteDias.LDI.T'!$G$48),2)</f>
        <v>5.21</v>
      </c>
      <c r="F43" s="43">
        <f>TRUNC((((D43+E43)/(1-'Salários.VA.VT.QteDias.LDI.T'!$G$56))*'Salários.VA.VT.QteDias.LDI.T'!$G$56),2)</f>
        <v>5.28</v>
      </c>
      <c r="G43" s="43">
        <f t="shared" si="4"/>
        <v>61.14</v>
      </c>
      <c r="H43" s="42"/>
      <c r="I43" s="42">
        <v>2</v>
      </c>
      <c r="J43" s="43">
        <f t="shared" si="5"/>
        <v>122.28</v>
      </c>
    </row>
    <row r="44" spans="1:10" ht="19.5" customHeight="1" x14ac:dyDescent="0.3">
      <c r="A44" s="42">
        <f t="shared" si="3"/>
        <v>42</v>
      </c>
      <c r="B44" s="41" t="s">
        <v>198</v>
      </c>
      <c r="C44" s="42" t="s">
        <v>134</v>
      </c>
      <c r="D44" s="195">
        <v>50.3</v>
      </c>
      <c r="E44" s="43">
        <f>TRUNC((D44*'Salários.VA.VT.QteDias.LDI.T'!$G$48),2)</f>
        <v>5.18</v>
      </c>
      <c r="F44" s="43">
        <f>TRUNC((((D44+E44)/(1-'Salários.VA.VT.QteDias.LDI.T'!$G$56))*'Salários.VA.VT.QteDias.LDI.T'!$G$56),2)</f>
        <v>5.25</v>
      </c>
      <c r="G44" s="43">
        <f t="shared" si="4"/>
        <v>60.73</v>
      </c>
      <c r="H44" s="42"/>
      <c r="I44" s="42">
        <v>3</v>
      </c>
      <c r="J44" s="43">
        <f t="shared" si="5"/>
        <v>182.19</v>
      </c>
    </row>
    <row r="45" spans="1:10" ht="19.5" customHeight="1" x14ac:dyDescent="0.3">
      <c r="A45" s="42">
        <f t="shared" si="3"/>
        <v>43</v>
      </c>
      <c r="B45" s="41" t="s">
        <v>199</v>
      </c>
      <c r="C45" s="42" t="s">
        <v>134</v>
      </c>
      <c r="D45" s="195">
        <v>17.68</v>
      </c>
      <c r="E45" s="43">
        <f>TRUNC((D45*'Salários.VA.VT.QteDias.LDI.T'!$G$48),2)</f>
        <v>1.82</v>
      </c>
      <c r="F45" s="43">
        <f>TRUNC((((D45+E45)/(1-'Salários.VA.VT.QteDias.LDI.T'!$G$56))*'Salários.VA.VT.QteDias.LDI.T'!$G$56),2)</f>
        <v>1.84</v>
      </c>
      <c r="G45" s="43">
        <f t="shared" si="4"/>
        <v>21.34</v>
      </c>
      <c r="H45" s="42"/>
      <c r="I45" s="42">
        <v>3</v>
      </c>
      <c r="J45" s="43">
        <f t="shared" si="5"/>
        <v>64.02</v>
      </c>
    </row>
    <row r="46" spans="1:10" ht="19.5" customHeight="1" x14ac:dyDescent="0.3">
      <c r="A46" s="42">
        <f t="shared" si="3"/>
        <v>44</v>
      </c>
      <c r="B46" s="41" t="s">
        <v>200</v>
      </c>
      <c r="C46" s="42" t="s">
        <v>134</v>
      </c>
      <c r="D46" s="195">
        <v>93.47</v>
      </c>
      <c r="E46" s="43">
        <f>TRUNC((D46*'Salários.VA.VT.QteDias.LDI.T'!$G$48),2)</f>
        <v>9.6199999999999992</v>
      </c>
      <c r="F46" s="43">
        <f>TRUNC((((D46+E46)/(1-'Salários.VA.VT.QteDias.LDI.T'!$G$56))*'Salários.VA.VT.QteDias.LDI.T'!$G$56),2)</f>
        <v>9.76</v>
      </c>
      <c r="G46" s="43">
        <f t="shared" si="4"/>
        <v>112.85</v>
      </c>
      <c r="H46" s="42"/>
      <c r="I46" s="42">
        <v>1</v>
      </c>
      <c r="J46" s="43">
        <f t="shared" si="5"/>
        <v>112.85</v>
      </c>
    </row>
    <row r="47" spans="1:10" ht="19.5" customHeight="1" x14ac:dyDescent="0.3">
      <c r="A47" s="42">
        <f t="shared" si="3"/>
        <v>45</v>
      </c>
      <c r="B47" s="41" t="s">
        <v>201</v>
      </c>
      <c r="C47" s="42" t="s">
        <v>134</v>
      </c>
      <c r="D47" s="195">
        <v>18.54</v>
      </c>
      <c r="E47" s="43">
        <f>TRUNC((D47*'Salários.VA.VT.QteDias.LDI.T'!$G$48),2)</f>
        <v>1.9</v>
      </c>
      <c r="F47" s="43">
        <f>TRUNC((((D47+E47)/(1-'Salários.VA.VT.QteDias.LDI.T'!$G$56))*'Salários.VA.VT.QteDias.LDI.T'!$G$56),2)</f>
        <v>1.93</v>
      </c>
      <c r="G47" s="43">
        <f t="shared" si="4"/>
        <v>22.37</v>
      </c>
      <c r="H47" s="42"/>
      <c r="I47" s="42">
        <v>30</v>
      </c>
      <c r="J47" s="43">
        <f t="shared" si="5"/>
        <v>671.1</v>
      </c>
    </row>
    <row r="48" spans="1:10" ht="19.5" customHeight="1" x14ac:dyDescent="0.3">
      <c r="A48" s="42">
        <f t="shared" si="3"/>
        <v>46</v>
      </c>
      <c r="B48" s="41" t="s">
        <v>202</v>
      </c>
      <c r="C48" s="42" t="s">
        <v>171</v>
      </c>
      <c r="D48" s="195">
        <v>4.95</v>
      </c>
      <c r="E48" s="43">
        <f>TRUNC((D48*'Salários.VA.VT.QteDias.LDI.T'!$G$48),2)</f>
        <v>0.5</v>
      </c>
      <c r="F48" s="43">
        <f>TRUNC((((D48+E48)/(1-'Salários.VA.VT.QteDias.LDI.T'!$G$56))*'Salários.VA.VT.QteDias.LDI.T'!$G$56),2)</f>
        <v>0.51</v>
      </c>
      <c r="G48" s="43">
        <f t="shared" si="4"/>
        <v>5.96</v>
      </c>
      <c r="H48" s="42" t="s">
        <v>154</v>
      </c>
      <c r="I48" s="42"/>
      <c r="J48" s="43">
        <f t="shared" si="5"/>
        <v>0</v>
      </c>
    </row>
    <row r="49" spans="1:10" ht="19.5" customHeight="1" x14ac:dyDescent="0.3">
      <c r="A49" s="42">
        <f t="shared" si="3"/>
        <v>47</v>
      </c>
      <c r="B49" s="26" t="s">
        <v>203</v>
      </c>
      <c r="C49" s="42" t="s">
        <v>134</v>
      </c>
      <c r="D49" s="195">
        <v>8.1199999999999992</v>
      </c>
      <c r="E49" s="43">
        <f>TRUNC((D49*'Salários.VA.VT.QteDias.LDI.T'!$G$48),2)</f>
        <v>0.83</v>
      </c>
      <c r="F49" s="43">
        <f>TRUNC((((D49+E49)/(1-'Salários.VA.VT.QteDias.LDI.T'!$G$56))*'Salários.VA.VT.QteDias.LDI.T'!$G$56),2)</f>
        <v>0.84</v>
      </c>
      <c r="G49" s="43">
        <f t="shared" si="4"/>
        <v>9.7899999999999991</v>
      </c>
      <c r="H49" s="42"/>
      <c r="I49" s="42">
        <v>30</v>
      </c>
      <c r="J49" s="43">
        <f t="shared" si="5"/>
        <v>293.7</v>
      </c>
    </row>
    <row r="50" spans="1:10" ht="19.5" customHeight="1" x14ac:dyDescent="0.3">
      <c r="A50" s="42">
        <f t="shared" si="3"/>
        <v>48</v>
      </c>
      <c r="B50" s="41" t="s">
        <v>204</v>
      </c>
      <c r="C50" s="42" t="s">
        <v>134</v>
      </c>
      <c r="D50" s="195">
        <v>3.42</v>
      </c>
      <c r="E50" s="43">
        <f>TRUNC((D50*'Salários.VA.VT.QteDias.LDI.T'!$G$48),2)</f>
        <v>0.35</v>
      </c>
      <c r="F50" s="43">
        <f>TRUNC((((D50+E50)/(1-'Salários.VA.VT.QteDias.LDI.T'!$G$56))*'Salários.VA.VT.QteDias.LDI.T'!$G$56),2)</f>
        <v>0.35</v>
      </c>
      <c r="G50" s="43">
        <f t="shared" si="4"/>
        <v>4.12</v>
      </c>
      <c r="H50" s="42"/>
      <c r="I50" s="42">
        <v>9</v>
      </c>
      <c r="J50" s="43">
        <f t="shared" si="5"/>
        <v>37.08</v>
      </c>
    </row>
    <row r="51" spans="1:10" ht="19.5" customHeight="1" x14ac:dyDescent="0.3">
      <c r="A51" s="42">
        <f t="shared" si="3"/>
        <v>49</v>
      </c>
      <c r="B51" s="47" t="s">
        <v>205</v>
      </c>
      <c r="C51" s="42" t="s">
        <v>134</v>
      </c>
      <c r="D51" s="195">
        <v>4.66</v>
      </c>
      <c r="E51" s="43">
        <f>TRUNC((D51*'Salários.VA.VT.QteDias.LDI.T'!$G$48),2)</f>
        <v>0.47</v>
      </c>
      <c r="F51" s="43">
        <f>TRUNC((((D51+E51)/(1-'Salários.VA.VT.QteDias.LDI.T'!$G$56))*'Salários.VA.VT.QteDias.LDI.T'!$G$56),2)</f>
        <v>0.48</v>
      </c>
      <c r="G51" s="43">
        <f t="shared" si="4"/>
        <v>5.61</v>
      </c>
      <c r="H51" s="42" t="s">
        <v>154</v>
      </c>
      <c r="I51" s="42"/>
      <c r="J51" s="43">
        <f t="shared" si="5"/>
        <v>0</v>
      </c>
    </row>
    <row r="52" spans="1:10" ht="19.5" customHeight="1" x14ac:dyDescent="0.3">
      <c r="A52" s="42">
        <f t="shared" si="3"/>
        <v>50</v>
      </c>
      <c r="B52" s="26" t="s">
        <v>206</v>
      </c>
      <c r="C52" s="42" t="s">
        <v>134</v>
      </c>
      <c r="D52" s="195">
        <v>5.76</v>
      </c>
      <c r="E52" s="43">
        <f>TRUNC((D52*'Salários.VA.VT.QteDias.LDI.T'!$G$48),2)</f>
        <v>0.59</v>
      </c>
      <c r="F52" s="43">
        <f>TRUNC((((D52+E52)/(1-'Salários.VA.VT.QteDias.LDI.T'!$G$56))*'Salários.VA.VT.QteDias.LDI.T'!$G$56),2)</f>
        <v>0.6</v>
      </c>
      <c r="G52" s="43">
        <f t="shared" si="4"/>
        <v>6.95</v>
      </c>
      <c r="H52" s="42"/>
      <c r="I52" s="42">
        <v>2</v>
      </c>
      <c r="J52" s="43">
        <f t="shared" si="5"/>
        <v>13.9</v>
      </c>
    </row>
    <row r="53" spans="1:10" ht="19.5" customHeight="1" x14ac:dyDescent="0.3">
      <c r="A53" s="42">
        <f t="shared" si="3"/>
        <v>51</v>
      </c>
      <c r="B53" s="41" t="s">
        <v>207</v>
      </c>
      <c r="C53" s="42" t="s">
        <v>134</v>
      </c>
      <c r="D53" s="195">
        <v>24.12</v>
      </c>
      <c r="E53" s="43">
        <f>TRUNC((D53*'Salários.VA.VT.QteDias.LDI.T'!$G$48),2)</f>
        <v>2.48</v>
      </c>
      <c r="F53" s="43">
        <f>TRUNC((((D53+E53)/(1-'Salários.VA.VT.QteDias.LDI.T'!$G$56))*'Salários.VA.VT.QteDias.LDI.T'!$G$56),2)</f>
        <v>2.5099999999999998</v>
      </c>
      <c r="G53" s="43">
        <f t="shared" si="4"/>
        <v>29.11</v>
      </c>
      <c r="H53" s="42" t="s">
        <v>154</v>
      </c>
      <c r="I53" s="42"/>
      <c r="J53" s="43">
        <f t="shared" si="5"/>
        <v>0</v>
      </c>
    </row>
    <row r="54" spans="1:10" ht="19.5" customHeight="1" x14ac:dyDescent="0.3">
      <c r="A54" s="42">
        <f t="shared" si="3"/>
        <v>52</v>
      </c>
      <c r="B54" s="41" t="s">
        <v>208</v>
      </c>
      <c r="C54" s="42" t="s">
        <v>134</v>
      </c>
      <c r="D54" s="195">
        <v>5.63</v>
      </c>
      <c r="E54" s="43">
        <f>TRUNC((D54*'Salários.VA.VT.QteDias.LDI.T'!$G$48),2)</f>
        <v>0.56999999999999995</v>
      </c>
      <c r="F54" s="43">
        <f>TRUNC((((D54+E54)/(1-'Salários.VA.VT.QteDias.LDI.T'!$G$56))*'Salários.VA.VT.QteDias.LDI.T'!$G$56),2)</f>
        <v>0.57999999999999996</v>
      </c>
      <c r="G54" s="43">
        <f t="shared" si="4"/>
        <v>6.78</v>
      </c>
      <c r="H54" s="42"/>
      <c r="I54" s="42">
        <v>30</v>
      </c>
      <c r="J54" s="43">
        <f t="shared" si="5"/>
        <v>203.4</v>
      </c>
    </row>
    <row r="55" spans="1:10" ht="19.5" customHeight="1" x14ac:dyDescent="0.3">
      <c r="A55" s="42">
        <f t="shared" si="3"/>
        <v>53</v>
      </c>
      <c r="B55" s="26" t="s">
        <v>209</v>
      </c>
      <c r="C55" s="42" t="s">
        <v>134</v>
      </c>
      <c r="D55" s="195">
        <v>59.14</v>
      </c>
      <c r="E55" s="43">
        <f>TRUNC((D55*'Salários.VA.VT.QteDias.LDI.T'!$G$48),2)</f>
        <v>6.09</v>
      </c>
      <c r="F55" s="43">
        <f>TRUNC((((D55+E55)/(1-'Salários.VA.VT.QteDias.LDI.T'!$G$56))*'Salários.VA.VT.QteDias.LDI.T'!$G$56),2)</f>
        <v>6.17</v>
      </c>
      <c r="G55" s="43">
        <f t="shared" si="4"/>
        <v>71.400000000000006</v>
      </c>
      <c r="H55" s="42"/>
      <c r="I55" s="42">
        <v>1</v>
      </c>
      <c r="J55" s="43">
        <f t="shared" si="5"/>
        <v>71.400000000000006</v>
      </c>
    </row>
    <row r="56" spans="1:10" ht="19.5" customHeight="1" x14ac:dyDescent="0.3">
      <c r="A56" s="42">
        <f t="shared" si="3"/>
        <v>54</v>
      </c>
      <c r="B56" s="41" t="s">
        <v>210</v>
      </c>
      <c r="C56" s="42" t="s">
        <v>171</v>
      </c>
      <c r="D56" s="195">
        <v>10.67</v>
      </c>
      <c r="E56" s="43">
        <f>TRUNC((D56*'Salários.VA.VT.QteDias.LDI.T'!$G$48),2)</f>
        <v>1.0900000000000001</v>
      </c>
      <c r="F56" s="43">
        <f>TRUNC((((D56+E56)/(1-'Salários.VA.VT.QteDias.LDI.T'!$G$56))*'Salários.VA.VT.QteDias.LDI.T'!$G$56),2)</f>
        <v>1.1100000000000001</v>
      </c>
      <c r="G56" s="43">
        <f t="shared" si="4"/>
        <v>12.87</v>
      </c>
      <c r="H56" s="42" t="s">
        <v>154</v>
      </c>
      <c r="I56" s="42"/>
      <c r="J56" s="43">
        <f t="shared" si="5"/>
        <v>0</v>
      </c>
    </row>
    <row r="57" spans="1:10" ht="19.5" customHeight="1" x14ac:dyDescent="0.3">
      <c r="A57" s="42">
        <f t="shared" si="3"/>
        <v>55</v>
      </c>
      <c r="B57" s="41" t="s">
        <v>211</v>
      </c>
      <c r="C57" s="42" t="s">
        <v>134</v>
      </c>
      <c r="D57" s="195">
        <v>17.63</v>
      </c>
      <c r="E57" s="43">
        <f>TRUNC((D57*'Salários.VA.VT.QteDias.LDI.T'!$G$48),2)</f>
        <v>1.81</v>
      </c>
      <c r="F57" s="43">
        <f>TRUNC((((D57+E57)/(1-'Salários.VA.VT.QteDias.LDI.T'!$G$56))*'Salários.VA.VT.QteDias.LDI.T'!$G$56),2)</f>
        <v>1.84</v>
      </c>
      <c r="G57" s="43">
        <f t="shared" si="4"/>
        <v>21.28</v>
      </c>
      <c r="H57" s="42" t="s">
        <v>154</v>
      </c>
      <c r="I57" s="42"/>
      <c r="J57" s="43">
        <f t="shared" si="5"/>
        <v>0</v>
      </c>
    </row>
    <row r="58" spans="1:10" ht="19.5" customHeight="1" x14ac:dyDescent="0.3">
      <c r="A58" s="42">
        <f t="shared" si="3"/>
        <v>56</v>
      </c>
      <c r="B58" s="41" t="s">
        <v>212</v>
      </c>
      <c r="C58" s="42" t="s">
        <v>134</v>
      </c>
      <c r="D58" s="195">
        <v>236.91</v>
      </c>
      <c r="E58" s="43">
        <f>TRUNC((D58*'Salários.VA.VT.QteDias.LDI.T'!$G$48),2)</f>
        <v>24.4</v>
      </c>
      <c r="F58" s="43">
        <f>TRUNC((((D58+E58)/(1-'Salários.VA.VT.QteDias.LDI.T'!$G$56))*'Salários.VA.VT.QteDias.LDI.T'!$G$56),2)</f>
        <v>24.74</v>
      </c>
      <c r="G58" s="43">
        <f t="shared" si="4"/>
        <v>286.05</v>
      </c>
      <c r="H58" s="42" t="s">
        <v>154</v>
      </c>
      <c r="I58" s="42"/>
      <c r="J58" s="43">
        <f t="shared" si="5"/>
        <v>0</v>
      </c>
    </row>
    <row r="59" spans="1:10" ht="19.5" customHeight="1" x14ac:dyDescent="0.3">
      <c r="A59" s="42">
        <f t="shared" si="3"/>
        <v>57</v>
      </c>
      <c r="B59" s="41" t="s">
        <v>213</v>
      </c>
      <c r="C59" s="42" t="s">
        <v>168</v>
      </c>
      <c r="D59" s="195">
        <v>12.11</v>
      </c>
      <c r="E59" s="43">
        <f>TRUNC((D59*'Salários.VA.VT.QteDias.LDI.T'!$G$48),2)</f>
        <v>1.24</v>
      </c>
      <c r="F59" s="43">
        <f>TRUNC((((D59+E59)/(1-'Salários.VA.VT.QteDias.LDI.T'!$G$56))*'Salários.VA.VT.QteDias.LDI.T'!$G$56),2)</f>
        <v>1.26</v>
      </c>
      <c r="G59" s="43">
        <f t="shared" si="4"/>
        <v>14.61</v>
      </c>
      <c r="H59" s="42"/>
      <c r="I59" s="42">
        <v>30</v>
      </c>
      <c r="J59" s="43">
        <f t="shared" si="5"/>
        <v>438.3</v>
      </c>
    </row>
    <row r="60" spans="1:10" ht="19.5" customHeight="1" x14ac:dyDescent="0.3">
      <c r="A60" s="42">
        <f t="shared" si="3"/>
        <v>58</v>
      </c>
      <c r="B60" s="41" t="s">
        <v>214</v>
      </c>
      <c r="C60" s="42" t="s">
        <v>168</v>
      </c>
      <c r="D60" s="195">
        <v>19.64</v>
      </c>
      <c r="E60" s="43">
        <f>TRUNC((D60*'Salários.VA.VT.QteDias.LDI.T'!$G$48),2)</f>
        <v>2.02</v>
      </c>
      <c r="F60" s="43">
        <f>TRUNC((((D60+E60)/(1-'Salários.VA.VT.QteDias.LDI.T'!$G$56))*'Salários.VA.VT.QteDias.LDI.T'!$G$56),2)</f>
        <v>2.0499999999999998</v>
      </c>
      <c r="G60" s="43">
        <f t="shared" si="4"/>
        <v>23.71</v>
      </c>
      <c r="H60" s="42"/>
      <c r="I60" s="42">
        <v>30</v>
      </c>
      <c r="J60" s="43">
        <f t="shared" si="5"/>
        <v>711.3</v>
      </c>
    </row>
    <row r="61" spans="1:10" ht="19.5" customHeight="1" x14ac:dyDescent="0.3">
      <c r="A61" s="42">
        <f t="shared" si="3"/>
        <v>59</v>
      </c>
      <c r="B61" s="41" t="s">
        <v>215</v>
      </c>
      <c r="C61" s="42" t="s">
        <v>168</v>
      </c>
      <c r="D61" s="195">
        <v>23.91</v>
      </c>
      <c r="E61" s="43">
        <f>TRUNC((D61*'Salários.VA.VT.QteDias.LDI.T'!$G$48),2)</f>
        <v>2.46</v>
      </c>
      <c r="F61" s="43">
        <f>TRUNC((((D61+E61)/(1-'Salários.VA.VT.QteDias.LDI.T'!$G$56))*'Salários.VA.VT.QteDias.LDI.T'!$G$56),2)</f>
        <v>2.4900000000000002</v>
      </c>
      <c r="G61" s="43">
        <f t="shared" si="4"/>
        <v>28.86</v>
      </c>
      <c r="H61" s="42" t="s">
        <v>154</v>
      </c>
      <c r="I61" s="42"/>
      <c r="J61" s="43">
        <f t="shared" si="5"/>
        <v>0</v>
      </c>
    </row>
    <row r="62" spans="1:10" ht="19.5" customHeight="1" x14ac:dyDescent="0.3">
      <c r="A62" s="42"/>
      <c r="B62" s="41"/>
      <c r="C62" s="42"/>
      <c r="D62" s="42"/>
      <c r="E62" s="42"/>
      <c r="F62" s="42"/>
      <c r="G62" s="42"/>
      <c r="H62" s="42"/>
      <c r="I62" s="42"/>
      <c r="J62" s="43"/>
    </row>
    <row r="63" spans="1:10" ht="19.5" customHeight="1" x14ac:dyDescent="0.3">
      <c r="A63" s="42"/>
      <c r="B63" s="41"/>
      <c r="C63" s="42"/>
      <c r="D63" s="42"/>
      <c r="E63" s="42"/>
      <c r="F63" s="42"/>
      <c r="G63" s="42"/>
      <c r="H63" s="42"/>
      <c r="I63" s="42"/>
      <c r="J63" s="43"/>
    </row>
    <row r="64" spans="1:10" ht="19.5" customHeight="1" x14ac:dyDescent="0.3">
      <c r="A64" s="42"/>
      <c r="B64" s="41"/>
      <c r="C64" s="42"/>
      <c r="D64" s="49">
        <f>TRUNC(SUM(D3:D61),2)</f>
        <v>1761.82</v>
      </c>
      <c r="E64" s="49">
        <f>TRUNC(SUM(E3:E61),2)</f>
        <v>181.16</v>
      </c>
      <c r="F64" s="49">
        <f>TRUNC(SUM(F3:F61),2)</f>
        <v>183.65</v>
      </c>
      <c r="G64" s="49">
        <f>TRUNC(SUM(G3:G61),2)</f>
        <v>2126.63</v>
      </c>
      <c r="H64" s="43"/>
      <c r="I64" s="43"/>
      <c r="J64" s="49">
        <f>TRUNC(SUM(J3:J61),2)</f>
        <v>10154.56</v>
      </c>
    </row>
    <row r="65" spans="1:10" ht="19.5" customHeight="1" x14ac:dyDescent="0.3">
      <c r="A65" s="50"/>
      <c r="B65" s="50"/>
      <c r="C65" s="50"/>
      <c r="D65" s="50"/>
      <c r="E65" s="50"/>
      <c r="F65" s="50"/>
      <c r="G65" s="50"/>
      <c r="H65" s="50"/>
      <c r="I65" s="50"/>
      <c r="J65" s="50"/>
    </row>
    <row r="66" spans="1:10" ht="19.5" customHeight="1" x14ac:dyDescent="0.3">
      <c r="A66" s="50"/>
      <c r="B66" s="50"/>
      <c r="C66" s="50"/>
      <c r="D66" s="50"/>
      <c r="E66" s="50"/>
      <c r="F66" s="50"/>
      <c r="G66" s="50"/>
      <c r="H66" s="50"/>
      <c r="I66" s="50"/>
      <c r="J66" s="50"/>
    </row>
    <row r="67" spans="1:10" ht="19.5" customHeight="1" x14ac:dyDescent="0.3">
      <c r="A67" s="51"/>
      <c r="B67" s="51"/>
      <c r="C67" s="51"/>
      <c r="D67" s="51"/>
      <c r="E67" s="51"/>
      <c r="F67" s="51"/>
      <c r="G67" s="51"/>
      <c r="H67" s="51"/>
      <c r="I67" s="51"/>
      <c r="J67" s="51"/>
    </row>
    <row r="68" spans="1:10" ht="19.5" customHeight="1" x14ac:dyDescent="0.3">
      <c r="A68" s="51"/>
      <c r="B68" s="51"/>
      <c r="C68" s="51"/>
      <c r="D68" s="224" t="s">
        <v>149</v>
      </c>
      <c r="E68" s="224"/>
      <c r="F68" s="224"/>
      <c r="G68" s="224"/>
      <c r="H68" s="224"/>
      <c r="I68" s="224"/>
      <c r="J68" s="49">
        <f>TRUNC((J64/12),2)</f>
        <v>846.21</v>
      </c>
    </row>
    <row r="69" spans="1:10" ht="19.5" customHeight="1" x14ac:dyDescent="0.3">
      <c r="A69" s="51"/>
      <c r="B69" s="51"/>
      <c r="C69" s="51"/>
      <c r="D69" s="51"/>
      <c r="E69" s="51"/>
      <c r="F69" s="51"/>
      <c r="G69" s="51"/>
      <c r="H69" s="51"/>
      <c r="I69" s="51"/>
      <c r="J69" s="51"/>
    </row>
    <row r="70" spans="1:10" ht="19.5" customHeight="1" x14ac:dyDescent="0.3">
      <c r="A70" s="51"/>
      <c r="B70" s="51"/>
      <c r="C70" s="51"/>
      <c r="D70" s="51"/>
      <c r="E70" s="51"/>
      <c r="F70" s="51"/>
      <c r="G70" s="51"/>
      <c r="H70" s="51"/>
      <c r="I70" s="51"/>
      <c r="J70" s="51"/>
    </row>
    <row r="71" spans="1:10" ht="19.5" customHeight="1" x14ac:dyDescent="0.3">
      <c r="A71" s="51"/>
      <c r="B71" s="51"/>
      <c r="C71" s="51"/>
      <c r="D71" s="51"/>
      <c r="E71" s="51"/>
      <c r="F71" s="51"/>
      <c r="G71" s="51"/>
      <c r="H71" s="51"/>
      <c r="I71" s="51"/>
      <c r="J71" s="51"/>
    </row>
    <row r="72" spans="1:10" ht="19.5" customHeight="1" x14ac:dyDescent="0.3">
      <c r="A72" s="51"/>
      <c r="B72" s="51"/>
      <c r="C72" s="51"/>
      <c r="D72" s="51"/>
      <c r="E72" s="51"/>
      <c r="F72" s="51"/>
      <c r="G72" s="51"/>
      <c r="H72" s="51"/>
      <c r="I72" s="51"/>
      <c r="J72" s="51"/>
    </row>
    <row r="73" spans="1:10" x14ac:dyDescent="0.3">
      <c r="A73" s="32"/>
      <c r="B73" s="32"/>
      <c r="C73" s="32"/>
      <c r="D73" s="32"/>
      <c r="E73" s="32"/>
      <c r="F73" s="32"/>
      <c r="G73" s="32"/>
      <c r="H73" s="32"/>
      <c r="I73" s="32"/>
      <c r="J73" s="32"/>
    </row>
    <row r="74" spans="1:10" x14ac:dyDescent="0.3">
      <c r="A74" s="32"/>
      <c r="B74" s="32"/>
      <c r="C74" s="32"/>
      <c r="D74" s="32"/>
      <c r="E74" s="32"/>
      <c r="F74" s="32"/>
      <c r="G74" s="32"/>
      <c r="H74" s="32"/>
      <c r="I74" s="32"/>
      <c r="J74" s="32"/>
    </row>
    <row r="75" spans="1:10" x14ac:dyDescent="0.3">
      <c r="A75" s="32"/>
      <c r="B75" s="32"/>
      <c r="C75" s="32"/>
      <c r="D75" s="32"/>
      <c r="E75" s="32"/>
      <c r="F75" s="32"/>
      <c r="G75" s="32"/>
      <c r="H75" s="32"/>
      <c r="I75" s="32"/>
      <c r="J75" s="32"/>
    </row>
    <row r="76" spans="1:10" x14ac:dyDescent="0.3">
      <c r="A76" s="32"/>
      <c r="B76" s="32"/>
      <c r="C76" s="32"/>
      <c r="D76" s="32"/>
      <c r="E76" s="32"/>
      <c r="F76" s="32"/>
      <c r="G76" s="32"/>
      <c r="H76" s="32"/>
      <c r="I76" s="32"/>
      <c r="J76" s="32"/>
    </row>
    <row r="77" spans="1:10" x14ac:dyDescent="0.3">
      <c r="A77" s="32"/>
      <c r="B77" s="32"/>
      <c r="C77" s="32"/>
      <c r="D77" s="32"/>
      <c r="E77" s="32"/>
      <c r="F77" s="32"/>
      <c r="G77" s="32"/>
      <c r="H77" s="32"/>
      <c r="I77" s="32"/>
      <c r="J77" s="32"/>
    </row>
    <row r="78" spans="1:10" x14ac:dyDescent="0.3">
      <c r="A78" s="32"/>
      <c r="B78" s="32"/>
      <c r="C78" s="32"/>
      <c r="D78" s="32"/>
      <c r="E78" s="32"/>
      <c r="F78" s="32"/>
      <c r="G78" s="32"/>
      <c r="H78" s="32"/>
      <c r="I78" s="32"/>
      <c r="J78" s="32"/>
    </row>
    <row r="79" spans="1:10" x14ac:dyDescent="0.3">
      <c r="A79" s="32"/>
      <c r="B79" s="32"/>
      <c r="C79" s="32"/>
      <c r="D79" s="32"/>
      <c r="E79" s="32"/>
      <c r="F79" s="32"/>
      <c r="G79" s="32"/>
      <c r="H79" s="32"/>
      <c r="I79" s="32"/>
      <c r="J79" s="32"/>
    </row>
    <row r="80" spans="1:10" x14ac:dyDescent="0.3">
      <c r="A80" s="32"/>
      <c r="B80" s="32"/>
      <c r="C80" s="32"/>
      <c r="D80" s="32"/>
      <c r="E80" s="32"/>
      <c r="F80" s="32"/>
      <c r="G80" s="32"/>
      <c r="H80" s="32"/>
      <c r="I80" s="32"/>
      <c r="J80" s="32"/>
    </row>
    <row r="81" spans="1:10" x14ac:dyDescent="0.3">
      <c r="A81" s="32"/>
      <c r="B81" s="32"/>
      <c r="C81" s="32"/>
      <c r="D81" s="32"/>
      <c r="E81" s="32"/>
      <c r="F81" s="32"/>
      <c r="G81" s="32"/>
      <c r="H81" s="32"/>
      <c r="I81" s="32"/>
      <c r="J81" s="32"/>
    </row>
    <row r="82" spans="1:10" x14ac:dyDescent="0.3">
      <c r="A82" s="32"/>
      <c r="B82" s="32"/>
      <c r="C82" s="32"/>
      <c r="D82" s="32"/>
      <c r="E82" s="32"/>
      <c r="F82" s="32"/>
      <c r="G82" s="32"/>
      <c r="H82" s="32"/>
      <c r="I82" s="32"/>
      <c r="J82" s="32"/>
    </row>
    <row r="83" spans="1:10" x14ac:dyDescent="0.3">
      <c r="A83" s="32"/>
      <c r="B83" s="32"/>
      <c r="C83" s="32"/>
      <c r="D83" s="32"/>
      <c r="E83" s="32"/>
      <c r="F83" s="32"/>
      <c r="G83" s="32"/>
      <c r="H83" s="32"/>
      <c r="I83" s="32"/>
      <c r="J83" s="32"/>
    </row>
    <row r="84" spans="1:10" x14ac:dyDescent="0.3">
      <c r="A84" s="32"/>
      <c r="B84" s="32"/>
      <c r="C84" s="32"/>
      <c r="D84" s="32"/>
      <c r="E84" s="32"/>
      <c r="F84" s="32"/>
      <c r="G84" s="32"/>
      <c r="H84" s="32"/>
      <c r="I84" s="32"/>
      <c r="J84" s="32"/>
    </row>
    <row r="85" spans="1:10" x14ac:dyDescent="0.3">
      <c r="A85" s="32"/>
      <c r="B85" s="32"/>
      <c r="C85" s="32"/>
      <c r="D85" s="32"/>
      <c r="E85" s="32"/>
      <c r="F85" s="32"/>
      <c r="G85" s="32"/>
      <c r="H85" s="32"/>
      <c r="I85" s="32"/>
      <c r="J85" s="32"/>
    </row>
    <row r="86" spans="1:10" x14ac:dyDescent="0.3">
      <c r="A86" s="32"/>
      <c r="B86" s="32"/>
      <c r="C86" s="32"/>
      <c r="D86" s="32"/>
      <c r="E86" s="32"/>
      <c r="F86" s="32"/>
      <c r="G86" s="32"/>
      <c r="H86" s="32"/>
      <c r="I86" s="32"/>
      <c r="J86" s="32"/>
    </row>
  </sheetData>
  <sheetProtection sheet="1" objects="1" scenarios="1"/>
  <protectedRanges>
    <protectedRange sqref="D3:D61" name="Intervalo1"/>
  </protectedRanges>
  <mergeCells count="2">
    <mergeCell ref="A1:J1"/>
    <mergeCell ref="D68:I68"/>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INSTRUÇOES PARA PREENCHIMENTO</vt:lpstr>
      <vt:lpstr>Proposta de Preços</vt:lpstr>
      <vt:lpstr>NP</vt:lpstr>
      <vt:lpstr>PC</vt:lpstr>
      <vt:lpstr>Salários.VA.VT.QteDias.LDI.T</vt:lpstr>
      <vt:lpstr>Gás</vt:lpstr>
      <vt:lpstr>GA</vt:lpstr>
      <vt:lpstr>MLHCC - Ônus da Contratada</vt:lpstr>
      <vt:lpstr>MCC - Sob Demanda</vt:lpstr>
      <vt:lpstr>MLPH</vt:lpstr>
      <vt:lpstr>Unif</vt:lpstr>
      <vt:lpstr>FJ</vt:lpstr>
      <vt:lpstr>IOJ</vt:lpstr>
      <vt:lpstr>MIJ</vt:lpstr>
      <vt:lpstr>MB</vt:lpstr>
      <vt:lpstr>MP</vt:lpstr>
      <vt:lpstr>EPI´s - LC</vt:lpstr>
      <vt:lpstr>EPI´s - BC</vt:lpstr>
      <vt:lpstr>EPI´s - J</vt:lpstr>
      <vt:lpstr>AAI</vt:lpstr>
      <vt:lpstr>AAII</vt:lpstr>
      <vt:lpstr>AAIII</vt:lpstr>
      <vt:lpstr>SENS</vt:lpstr>
      <vt:lpstr>Rec</vt:lpstr>
      <vt:lpstr>Cop</vt:lpstr>
      <vt:lpstr>BCD</vt:lpstr>
      <vt:lpstr>SL</vt:lpstr>
      <vt:lpstr>Jard</vt:lpstr>
      <vt:lpstr>'INSTRUÇOES PARA PREENCHIMENTO'!Area_de_impressao</vt:lpstr>
      <vt:lpstr>'INSTRUÇOES PARA PREENCHIMENTO'!Print_Area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dc:description/>
  <cp:lastModifiedBy>Jefferson Feijó</cp:lastModifiedBy>
  <cp:revision>1</cp:revision>
  <dcterms:created xsi:type="dcterms:W3CDTF">2024-07-11T20:10:42Z</dcterms:created>
  <dcterms:modified xsi:type="dcterms:W3CDTF">2025-06-17T14:28:43Z</dcterms:modified>
  <dc:language>pt-BR</dc:language>
</cp:coreProperties>
</file>